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uition and Fees\TFAC\25-26 planning for FY27\"/>
    </mc:Choice>
  </mc:AlternateContent>
  <xr:revisionPtr revIDLastSave="0" documentId="13_ncr:1_{59EB9930-3A7E-489A-8B37-F25785F1955B}" xr6:coauthVersionLast="47" xr6:coauthVersionMax="47" xr10:uidLastSave="{00000000-0000-0000-0000-000000000000}"/>
  <bookViews>
    <workbookView xWindow="-108" yWindow="-108" windowWidth="23256" windowHeight="12456" xr2:uid="{9B8BECDD-5876-42A4-8614-9B5E1CCB7FD9}"/>
  </bookViews>
  <sheets>
    <sheet name="University" sheetId="1" r:id="rId1"/>
    <sheet name="Individual" sheetId="3" r:id="rId2"/>
    <sheet name="Historica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1" l="1"/>
  <c r="O36" i="1" l="1"/>
  <c r="I14" i="1" l="1"/>
  <c r="F14" i="1" l="1"/>
  <c r="F13" i="1"/>
  <c r="F11" i="1"/>
  <c r="F10" i="1"/>
  <c r="F9" i="1"/>
  <c r="V19" i="1" l="1"/>
  <c r="H12" i="3"/>
  <c r="O12" i="3"/>
  <c r="O10" i="3"/>
  <c r="O9" i="3"/>
  <c r="O8" i="3"/>
  <c r="H8" i="3"/>
  <c r="J9" i="3"/>
  <c r="F20" i="4" l="1"/>
  <c r="E20" i="4"/>
  <c r="O39" i="1"/>
  <c r="O20" i="1" l="1"/>
  <c r="M14" i="1" l="1"/>
  <c r="L14" i="1" s="1"/>
  <c r="Q14" i="1" l="1"/>
  <c r="O14" i="1"/>
  <c r="F19" i="4" l="1"/>
  <c r="E19" i="4"/>
  <c r="O27" i="1"/>
  <c r="M9" i="1" l="1"/>
  <c r="L9" i="1" s="1"/>
  <c r="M11" i="1"/>
  <c r="V18" i="1" l="1"/>
  <c r="V9" i="1"/>
  <c r="E18" i="4"/>
  <c r="F18" i="4" s="1"/>
  <c r="F17" i="4"/>
  <c r="E17" i="4"/>
  <c r="H9" i="3" l="1"/>
  <c r="H10" i="3" l="1"/>
  <c r="E16" i="4"/>
  <c r="E8" i="4"/>
  <c r="F8" i="4" s="1"/>
  <c r="E9" i="4"/>
  <c r="F9" i="4" s="1"/>
  <c r="E10" i="4"/>
  <c r="F10" i="4" s="1"/>
  <c r="E11" i="4"/>
  <c r="F11" i="4"/>
  <c r="E12" i="4"/>
  <c r="F12" i="4" s="1"/>
  <c r="E13" i="4"/>
  <c r="F13" i="4" s="1"/>
  <c r="E14" i="4"/>
  <c r="F14" i="4" s="1"/>
  <c r="E15" i="4"/>
  <c r="F15" i="4" s="1"/>
  <c r="F16" i="4"/>
  <c r="E7" i="4"/>
  <c r="F7" i="4" s="1"/>
  <c r="V10" i="1" l="1"/>
  <c r="V11" i="1"/>
  <c r="V12" i="1"/>
  <c r="V13" i="1"/>
  <c r="V14" i="1"/>
  <c r="V15" i="1"/>
  <c r="V16" i="1"/>
  <c r="V17" i="1"/>
  <c r="V8" i="1"/>
  <c r="E33" i="3"/>
  <c r="J12" i="3" l="1"/>
  <c r="I12" i="3"/>
  <c r="O21" i="1"/>
  <c r="O38" i="1" l="1"/>
  <c r="O41" i="1" s="1"/>
  <c r="M13" i="1" l="1"/>
  <c r="Q13" i="1" s="1"/>
  <c r="I13" i="1"/>
  <c r="I11" i="1"/>
  <c r="I10" i="1"/>
  <c r="I9" i="1"/>
  <c r="L13" i="1" l="1"/>
  <c r="E12" i="3"/>
  <c r="G12" i="3" s="1"/>
  <c r="O13" i="1"/>
  <c r="J10" i="3" l="1"/>
  <c r="I10" i="3"/>
  <c r="I9" i="3"/>
  <c r="K12" i="3"/>
  <c r="M12" i="3" s="1"/>
  <c r="G38" i="1"/>
  <c r="O30" i="1"/>
  <c r="O29" i="1"/>
  <c r="O28" i="1"/>
  <c r="Q12" i="3" l="1"/>
  <c r="R12" i="3" s="1"/>
  <c r="G41" i="1"/>
  <c r="O16" i="1" l="1"/>
  <c r="L11" i="1"/>
  <c r="O9" i="1"/>
  <c r="F18" i="1"/>
  <c r="Q11" i="1" l="1"/>
  <c r="E10" i="3"/>
  <c r="E8" i="3"/>
  <c r="Q9" i="1"/>
  <c r="G18" i="1"/>
  <c r="G24" i="1" s="1"/>
  <c r="I18" i="1"/>
  <c r="O11" i="1"/>
  <c r="M10" i="1"/>
  <c r="Q10" i="1" s="1"/>
  <c r="G32" i="1" l="1"/>
  <c r="G8" i="3"/>
  <c r="K8" i="3" s="1"/>
  <c r="M8" i="3" s="1"/>
  <c r="G10" i="3"/>
  <c r="K10" i="3" s="1"/>
  <c r="M10" i="3" s="1"/>
  <c r="Q10" i="3" s="1"/>
  <c r="R10" i="3" s="1"/>
  <c r="O10" i="1"/>
  <c r="E9" i="3"/>
  <c r="G43" i="1" l="1"/>
  <c r="G45" i="1" s="1"/>
  <c r="G48" i="1" s="1"/>
  <c r="I26" i="1"/>
  <c r="I24" i="1"/>
  <c r="E24" i="3"/>
  <c r="E35" i="3" s="1"/>
  <c r="Q8" i="3"/>
  <c r="R8" i="3" s="1"/>
  <c r="G9" i="3"/>
  <c r="K9" i="3" s="1"/>
  <c r="M9" i="3" s="1"/>
  <c r="Q9" i="3" s="1"/>
  <c r="R9" i="3" s="1"/>
  <c r="O18" i="1"/>
  <c r="O24" i="1" l="1"/>
  <c r="O32" i="1" s="1"/>
  <c r="O43" i="1" s="1"/>
  <c r="O45" i="1" s="1"/>
  <c r="G49" i="1"/>
  <c r="O47" i="1"/>
  <c r="O48" i="1" l="1"/>
  <c r="O49" i="1" s="1"/>
</calcChain>
</file>

<file path=xl/sharedStrings.xml><?xml version="1.0" encoding="utf-8"?>
<sst xmlns="http://schemas.openxmlformats.org/spreadsheetml/2006/main" count="139" uniqueCount="125">
  <si>
    <t>Western Oregon University</t>
  </si>
  <si>
    <t>University Revenue Impact</t>
  </si>
  <si>
    <t>Tuition and Fees Projection Model</t>
  </si>
  <si>
    <t>Total</t>
  </si>
  <si>
    <t>Revenues</t>
  </si>
  <si>
    <t>Credits</t>
  </si>
  <si>
    <t>UG Tuition</t>
  </si>
  <si>
    <t>UG Resident</t>
  </si>
  <si>
    <t>UG WUE/Texas</t>
  </si>
  <si>
    <t>UG Non-Resident</t>
  </si>
  <si>
    <t>GR Tuition</t>
  </si>
  <si>
    <t>Other</t>
  </si>
  <si>
    <t>Total Gross Tuition</t>
  </si>
  <si>
    <t>Fee Remissions</t>
  </si>
  <si>
    <t>Total Net Tuition &amp; Fees</t>
  </si>
  <si>
    <t>State Appropriations</t>
  </si>
  <si>
    <t>Gifts Grants &amp; Contracts</t>
  </si>
  <si>
    <t>Investment</t>
  </si>
  <si>
    <t>Sales &amp; Services</t>
  </si>
  <si>
    <t>Other Revenues</t>
  </si>
  <si>
    <t>Total Revenues</t>
  </si>
  <si>
    <t>Current</t>
  </si>
  <si>
    <t>Credit Rates</t>
  </si>
  <si>
    <t>% Increase</t>
  </si>
  <si>
    <t>Rate</t>
  </si>
  <si>
    <t>Rounded %</t>
  </si>
  <si>
    <t>Expenses</t>
  </si>
  <si>
    <t>Personnel</t>
  </si>
  <si>
    <t>Service &amp; Supplies</t>
  </si>
  <si>
    <t xml:space="preserve">Total Expenses </t>
  </si>
  <si>
    <t>Total Expenses and Transfers</t>
  </si>
  <si>
    <t>Net Transfers</t>
  </si>
  <si>
    <t>Rates</t>
  </si>
  <si>
    <t>Tuition Cost</t>
  </si>
  <si>
    <t>Building Fees</t>
  </si>
  <si>
    <t>Health Service</t>
  </si>
  <si>
    <t>Incidental</t>
  </si>
  <si>
    <t>Per Term Cost</t>
  </si>
  <si>
    <t xml:space="preserve">Total </t>
  </si>
  <si>
    <t>Undergrad:</t>
  </si>
  <si>
    <t>Resident</t>
  </si>
  <si>
    <t>WUE/Texas</t>
  </si>
  <si>
    <t>Non-Resident</t>
  </si>
  <si>
    <t>$ Increase</t>
  </si>
  <si>
    <t>Mandatory Fees*</t>
  </si>
  <si>
    <t>*Mandatory Fee Assumptions</t>
  </si>
  <si>
    <t>Incr. for Cont. Students</t>
  </si>
  <si>
    <t>Individual Impact Estimation</t>
  </si>
  <si>
    <t>UG Enrollment Assumption</t>
  </si>
  <si>
    <t>GR Enrollment Assumption</t>
  </si>
  <si>
    <t>Online Fees</t>
  </si>
  <si>
    <t>Other Fees</t>
  </si>
  <si>
    <t>Net Revenues less Expenses</t>
  </si>
  <si>
    <t>Recurring Net Revenues less Expenses</t>
  </si>
  <si>
    <t>One Time Activites</t>
  </si>
  <si>
    <t>Beginning Fund Balance</t>
  </si>
  <si>
    <t>Projected Ending Fund Balnce</t>
  </si>
  <si>
    <t>% of Revenues</t>
  </si>
  <si>
    <t>Out-of-Pocket Cost Analysis (Resident Undergrad):</t>
  </si>
  <si>
    <t>Total Tuition &amp; Fees</t>
  </si>
  <si>
    <t>Aid:</t>
  </si>
  <si>
    <t>Oregon Opportunity Grant</t>
  </si>
  <si>
    <t>Pell</t>
  </si>
  <si>
    <t>Federal Direct Loans</t>
  </si>
  <si>
    <t>Private Scholarships</t>
  </si>
  <si>
    <t>Maximum for first-year dependent student is $5,500</t>
  </si>
  <si>
    <t>Total Aid (including loans)</t>
  </si>
  <si>
    <t>Net Cost/(Refund)</t>
  </si>
  <si>
    <t>Bilingual Teacher Scholarship</t>
  </si>
  <si>
    <t>1,000-5,000</t>
  </si>
  <si>
    <t>Diversity Commitment</t>
  </si>
  <si>
    <t>Full details can be found here: https://wou.edu/finaid/scholarships/incoming-students/</t>
  </si>
  <si>
    <t>Some examples of Fee Remissions:</t>
  </si>
  <si>
    <t>WOU Fee Remissions</t>
  </si>
  <si>
    <t>Varies by individual; some students receive up to $6,000, average award is $1,500</t>
  </si>
  <si>
    <t>WOU Scholarships, or external private scholarships</t>
  </si>
  <si>
    <t>Financial Aid Award Package based on Total Cost of Attendance</t>
  </si>
  <si>
    <t>https://wou.edu/admission/tuition-and-aid/</t>
  </si>
  <si>
    <t>UG Credit Hours (average 13/term)</t>
  </si>
  <si>
    <t>GR Credit Hours (full-time 9/term)</t>
  </si>
  <si>
    <t>Parent PLUS Loans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</si>
  <si>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</si>
  <si>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</si>
  <si>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</si>
  <si>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</si>
  <si>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</si>
  <si>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</si>
  <si>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</si>
  <si>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</si>
  <si>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</si>
  <si>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</si>
  <si>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</si>
  <si>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Resident Undergrad Historical Tuition per Credit</t>
  </si>
  <si>
    <t>Students also need to pay for housing/other bills</t>
  </si>
  <si>
    <t>BOT range: 5-15%, target 10-12%</t>
  </si>
  <si>
    <t>Resident UG Credit Rate</t>
  </si>
  <si>
    <t>Budget</t>
  </si>
  <si>
    <t>$ Rate Increase</t>
  </si>
  <si>
    <t>2022-23</t>
  </si>
  <si>
    <t>2023-24</t>
  </si>
  <si>
    <t>Maximum is cost of attendance less any other financial assistance</t>
  </si>
  <si>
    <t>2024-25</t>
  </si>
  <si>
    <t>2025-26 Cost</t>
  </si>
  <si>
    <t>OTD*</t>
  </si>
  <si>
    <t>Revenue*</t>
  </si>
  <si>
    <t>*Increase in UG Resident &amp; WUE tuition revenue generated compared to 0% tuition increase assuming flat enrollment.</t>
  </si>
  <si>
    <t>Merit</t>
  </si>
  <si>
    <t>Starting at 3.0 GPA</t>
  </si>
  <si>
    <t>Graduate**</t>
  </si>
  <si>
    <t>2025-26</t>
  </si>
  <si>
    <t>**Graduate tuition rates reflected exclude Occupational Therapy students, which is a cohort model program where students are currently assessed tuition of $9,160/term.</t>
  </si>
  <si>
    <t>Building Fees includes $58 Building Fee (staggered for less than full-time), $11 Student Health Building Fee, and $52 Student Recreation Center Building Fee</t>
  </si>
  <si>
    <t>Health Serivce Fee is currently $183 assessed at Credit 1 for in-person, $136 for completely online/Salem students</t>
  </si>
  <si>
    <t>Incidental Fee is currently at $435 assessed at Credit 1 for in-person, $220 for completely online/Salem students; determined by the Incidental Fee Committee</t>
  </si>
  <si>
    <t>2026-27 Cost</t>
  </si>
  <si>
    <t>FY27 Credit</t>
  </si>
  <si>
    <t>In June 2025, students voted on increasing the Student Recreation Center Building Fee from $42 to $52, to be effective Summer 2026 (this counts as an incidental fee in 5% calculation)</t>
  </si>
  <si>
    <t>Maximum is $7,800 for 2025-26</t>
  </si>
  <si>
    <t>Approx. 40% of our students are Pell-eligible; maximum is $7,395 for 2025-26</t>
  </si>
  <si>
    <t>FY26</t>
  </si>
  <si>
    <t>Projected FY27</t>
  </si>
  <si>
    <t>FY27 Credit Rates</t>
  </si>
  <si>
    <t>*OTD is based on a cohort model, number reflected in credits is actual student head count, and calculation is based on 4 terms of enrollment</t>
  </si>
  <si>
    <t xml:space="preserve">Based on actual FY26 allocation w/ 49/51% split </t>
  </si>
  <si>
    <t>Working towards a balance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</si>
</sst>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164" fontId="2" fillId="0" borderId="0" xfId="1" applyNumberFormat="1" applyFont="1"/>
    <xf numFmtId="164" fontId="0" fillId="0" borderId="0" xfId="1" applyNumberFormat="1" applyFont="1"/>
    <xf numFmtId="164" fontId="2" fillId="0" borderId="0" xfId="1" applyNumberFormat="1" applyFont="1" applyAlignment="1">
      <alignment horizontal="center"/>
    </xf>
    <xf numFmtId="164" fontId="0" fillId="0" borderId="1" xfId="1" applyNumberFormat="1" applyFont="1" applyBorder="1"/>
    <xf numFmtId="164" fontId="0" fillId="0" borderId="0" xfId="1" applyNumberFormat="1" applyFont="1" applyBorder="1"/>
    <xf numFmtId="43" fontId="0" fillId="0" borderId="0" xfId="1" applyFont="1"/>
    <xf numFmtId="164" fontId="3" fillId="0" borderId="0" xfId="1" applyNumberFormat="1" applyFont="1" applyAlignment="1">
      <alignment horizontal="left"/>
    </xf>
    <xf numFmtId="10" fontId="0" fillId="0" borderId="0" xfId="2" applyNumberFormat="1" applyFont="1"/>
    <xf numFmtId="10" fontId="0" fillId="2" borderId="0" xfId="2" applyNumberFormat="1" applyFont="1" applyFill="1"/>
    <xf numFmtId="10" fontId="0" fillId="0" borderId="0" xfId="1" applyNumberFormat="1" applyFont="1"/>
    <xf numFmtId="164" fontId="0" fillId="0" borderId="0" xfId="1" applyNumberFormat="1" applyFont="1" applyFill="1"/>
    <xf numFmtId="10" fontId="0" fillId="0" borderId="0" xfId="2" applyNumberFormat="1" applyFont="1" applyFill="1"/>
    <xf numFmtId="164" fontId="2" fillId="0" borderId="0" xfId="1" applyNumberFormat="1" applyFont="1" applyFill="1" applyAlignment="1">
      <alignment horizontal="center"/>
    </xf>
    <xf numFmtId="10" fontId="0" fillId="0" borderId="0" xfId="1" applyNumberFormat="1" applyFont="1" applyFill="1"/>
    <xf numFmtId="0" fontId="4" fillId="0" borderId="0" xfId="0" applyFont="1" applyAlignment="1">
      <alignment vertical="top"/>
    </xf>
    <xf numFmtId="0" fontId="4" fillId="0" borderId="0" xfId="0" applyFont="1"/>
    <xf numFmtId="0" fontId="3" fillId="0" borderId="0" xfId="0" applyFont="1"/>
    <xf numFmtId="164" fontId="3" fillId="0" borderId="0" xfId="1" applyNumberFormat="1" applyFont="1"/>
    <xf numFmtId="164" fontId="2" fillId="0" borderId="0" xfId="1" applyNumberFormat="1" applyFont="1" applyBorder="1" applyAlignment="1">
      <alignment horizontal="center"/>
    </xf>
    <xf numFmtId="9" fontId="0" fillId="0" borderId="0" xfId="2" applyFont="1" applyBorder="1"/>
    <xf numFmtId="43" fontId="3" fillId="0" borderId="0" xfId="1" applyFont="1"/>
    <xf numFmtId="43" fontId="4" fillId="0" borderId="0" xfId="1" applyFont="1"/>
    <xf numFmtId="43" fontId="2" fillId="0" borderId="0" xfId="1" applyFont="1"/>
    <xf numFmtId="164" fontId="5" fillId="0" borderId="0" xfId="1" applyNumberFormat="1" applyFont="1"/>
    <xf numFmtId="164" fontId="0" fillId="0" borderId="0" xfId="1" quotePrefix="1" applyNumberFormat="1" applyFont="1"/>
    <xf numFmtId="164" fontId="0" fillId="2" borderId="0" xfId="1" applyNumberFormat="1" applyFont="1" applyFill="1"/>
    <xf numFmtId="164" fontId="5" fillId="2" borderId="0" xfId="1" applyNumberFormat="1" applyFont="1" applyFill="1"/>
    <xf numFmtId="164" fontId="0" fillId="3" borderId="0" xfId="1" applyNumberFormat="1" applyFont="1" applyFill="1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10" fontId="0" fillId="3" borderId="0" xfId="2" applyNumberFormat="1" applyFont="1" applyFill="1"/>
    <xf numFmtId="165" fontId="0" fillId="0" borderId="0" xfId="2" applyNumberFormat="1" applyFont="1"/>
    <xf numFmtId="164" fontId="2" fillId="0" borderId="2" xfId="1" applyNumberFormat="1" applyFont="1" applyBorder="1"/>
    <xf numFmtId="164" fontId="6" fillId="0" borderId="2" xfId="1" applyNumberFormat="1" applyFont="1" applyBorder="1"/>
    <xf numFmtId="10" fontId="6" fillId="0" borderId="2" xfId="2" applyNumberFormat="1" applyFont="1" applyBorder="1"/>
    <xf numFmtId="164" fontId="7" fillId="0" borderId="0" xfId="3" applyNumberFormat="1"/>
    <xf numFmtId="43" fontId="0" fillId="0" borderId="0" xfId="1" applyFont="1" applyFill="1"/>
    <xf numFmtId="164" fontId="2" fillId="0" borderId="3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left" wrapText="1"/>
    </xf>
    <xf numFmtId="164" fontId="0" fillId="0" borderId="5" xfId="1" applyNumberFormat="1" applyFont="1" applyBorder="1" applyAlignment="1">
      <alignment horizontal="left" wrapText="1"/>
    </xf>
    <xf numFmtId="164" fontId="0" fillId="0" borderId="6" xfId="1" applyNumberFormat="1" applyFont="1" applyBorder="1" applyAlignment="1">
      <alignment horizontal="left" wrapText="1"/>
    </xf>
    <xf numFmtId="164" fontId="0" fillId="0" borderId="7" xfId="1" applyNumberFormat="1" applyFont="1" applyBorder="1" applyAlignment="1">
      <alignment horizontal="left" wrapText="1"/>
    </xf>
    <xf numFmtId="164" fontId="0" fillId="0" borderId="0" xfId="1" applyNumberFormat="1" applyFont="1" applyBorder="1" applyAlignment="1">
      <alignment horizontal="left" wrapText="1"/>
    </xf>
    <xf numFmtId="164" fontId="0" fillId="0" borderId="8" xfId="1" applyNumberFormat="1" applyFont="1" applyBorder="1" applyAlignment="1">
      <alignment horizontal="left" wrapText="1"/>
    </xf>
    <xf numFmtId="164" fontId="0" fillId="0" borderId="9" xfId="1" applyNumberFormat="1" applyFont="1" applyBorder="1" applyAlignment="1">
      <alignment horizontal="left" wrapText="1"/>
    </xf>
    <xf numFmtId="164" fontId="0" fillId="0" borderId="1" xfId="1" applyNumberFormat="1" applyFont="1" applyBorder="1" applyAlignment="1">
      <alignment horizontal="left" wrapText="1"/>
    </xf>
    <xf numFmtId="164" fontId="0" fillId="0" borderId="10" xfId="1" applyNumberFormat="1" applyFont="1" applyBorder="1" applyAlignment="1">
      <alignment horizontal="left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ou.edu/admission/tuition-and-aid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1017-405B-4755-9D13-D88C1E747700}">
  <dimension ref="A1:W52"/>
  <sheetViews>
    <sheetView tabSelected="1"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I14" sqref="I14"/>
    </sheetView>
  </sheetViews>
  <sheetFormatPr defaultColWidth="9.109375" defaultRowHeight="14.4" x14ac:dyDescent="0.3"/>
  <cols>
    <col min="1" max="2" width="2.6640625" style="2" customWidth="1"/>
    <col min="3" max="3" width="18" style="2" bestFit="1" customWidth="1"/>
    <col min="4" max="4" width="12.44140625" style="2" bestFit="1" customWidth="1"/>
    <col min="5" max="5" width="2.6640625" style="2" customWidth="1"/>
    <col min="6" max="6" width="13.109375" style="2" customWidth="1"/>
    <col min="7" max="7" width="14.33203125" style="2" customWidth="1"/>
    <col min="8" max="8" width="2.6640625" style="2" customWidth="1"/>
    <col min="9" max="9" width="18.5546875" style="2" bestFit="1" customWidth="1"/>
    <col min="10" max="10" width="2.6640625" style="2" customWidth="1"/>
    <col min="11" max="11" width="13.33203125" style="2" bestFit="1" customWidth="1"/>
    <col min="12" max="12" width="12.44140625" style="11" bestFit="1" customWidth="1"/>
    <col min="13" max="13" width="9.33203125" style="2" customWidth="1"/>
    <col min="14" max="14" width="2.6640625" style="2" customWidth="1"/>
    <col min="15" max="15" width="15.6640625" style="2" bestFit="1" customWidth="1"/>
    <col min="16" max="16" width="2.6640625" style="2" customWidth="1"/>
    <col min="17" max="17" width="23.5546875" style="2" customWidth="1"/>
    <col min="18" max="18" width="19.33203125" style="2" bestFit="1" customWidth="1"/>
    <col min="19" max="19" width="2.6640625" style="2" customWidth="1"/>
    <col min="20" max="20" width="11.88671875" style="2" customWidth="1"/>
    <col min="21" max="21" width="11.33203125" style="2" bestFit="1" customWidth="1"/>
    <col min="22" max="22" width="11.88671875" style="2" bestFit="1" customWidth="1"/>
    <col min="23" max="23" width="11.5546875" style="2" customWidth="1"/>
    <col min="24" max="16384" width="9.109375" style="2"/>
  </cols>
  <sheetData>
    <row r="1" spans="1:23" x14ac:dyDescent="0.3">
      <c r="A1" s="7" t="s">
        <v>0</v>
      </c>
    </row>
    <row r="2" spans="1:23" x14ac:dyDescent="0.3">
      <c r="A2" s="7" t="s">
        <v>2</v>
      </c>
      <c r="I2" s="1" t="s">
        <v>48</v>
      </c>
      <c r="L2" s="9">
        <v>0</v>
      </c>
    </row>
    <row r="3" spans="1:23" x14ac:dyDescent="0.3">
      <c r="A3" s="7" t="s">
        <v>1</v>
      </c>
      <c r="I3" s="1" t="s">
        <v>49</v>
      </c>
      <c r="L3" s="9">
        <v>0</v>
      </c>
    </row>
    <row r="5" spans="1:23" x14ac:dyDescent="0.3">
      <c r="D5" s="3" t="s">
        <v>21</v>
      </c>
      <c r="F5" s="40" t="s">
        <v>119</v>
      </c>
      <c r="G5" s="40"/>
      <c r="I5" s="3" t="s">
        <v>120</v>
      </c>
      <c r="K5" s="40" t="s">
        <v>121</v>
      </c>
      <c r="L5" s="40"/>
      <c r="M5" s="40"/>
      <c r="N5" s="3"/>
      <c r="O5" s="3"/>
    </row>
    <row r="6" spans="1:23" x14ac:dyDescent="0.3">
      <c r="A6" s="3"/>
      <c r="B6" s="3"/>
      <c r="C6" s="3"/>
      <c r="D6" s="3" t="s">
        <v>22</v>
      </c>
      <c r="E6" s="3"/>
      <c r="F6" s="3" t="s">
        <v>5</v>
      </c>
      <c r="G6" s="3" t="s">
        <v>96</v>
      </c>
      <c r="I6" s="3" t="s">
        <v>5</v>
      </c>
      <c r="K6" s="3" t="s">
        <v>23</v>
      </c>
      <c r="L6" s="13" t="s">
        <v>25</v>
      </c>
      <c r="M6" s="3" t="s">
        <v>24</v>
      </c>
      <c r="N6" s="3"/>
      <c r="O6" s="3" t="s">
        <v>120</v>
      </c>
      <c r="Q6" s="13" t="s">
        <v>97</v>
      </c>
    </row>
    <row r="7" spans="1:23" x14ac:dyDescent="0.3">
      <c r="A7" s="1" t="s">
        <v>4</v>
      </c>
      <c r="T7" s="34" t="s">
        <v>95</v>
      </c>
      <c r="U7" s="34" t="s">
        <v>43</v>
      </c>
      <c r="V7" s="34" t="s">
        <v>23</v>
      </c>
      <c r="W7" s="39" t="s">
        <v>104</v>
      </c>
    </row>
    <row r="8" spans="1:23" x14ac:dyDescent="0.3">
      <c r="B8" s="2" t="s">
        <v>6</v>
      </c>
      <c r="T8" s="35">
        <v>220</v>
      </c>
      <c r="U8" s="35">
        <v>0</v>
      </c>
      <c r="V8" s="36">
        <f>U8/$T$8</f>
        <v>0</v>
      </c>
      <c r="W8" s="35">
        <v>0</v>
      </c>
    </row>
    <row r="9" spans="1:23" x14ac:dyDescent="0.3">
      <c r="C9" s="2" t="s">
        <v>7</v>
      </c>
      <c r="D9" s="2">
        <v>220</v>
      </c>
      <c r="F9" s="2">
        <f>ROUNDDOWN(G9/D9,0)</f>
        <v>103650</v>
      </c>
      <c r="G9" s="2">
        <v>22803160</v>
      </c>
      <c r="I9" s="2">
        <f>ROUNDDOWN(F9*(1+$L$2),0)</f>
        <v>103650</v>
      </c>
      <c r="K9" s="9">
        <v>0</v>
      </c>
      <c r="L9" s="12">
        <f>M9/D9-1</f>
        <v>0</v>
      </c>
      <c r="M9" s="2">
        <f>ROUNDDOWN(D9*(1+K9),0)</f>
        <v>220</v>
      </c>
      <c r="O9" s="2">
        <f>I9*M9</f>
        <v>22803000</v>
      </c>
      <c r="Q9" s="2">
        <f>M9-D9</f>
        <v>0</v>
      </c>
      <c r="T9" s="35">
        <v>221</v>
      </c>
      <c r="U9" s="35">
        <v>1</v>
      </c>
      <c r="V9" s="36">
        <f>U9/$T$8</f>
        <v>4.5454545454545452E-3</v>
      </c>
      <c r="W9" s="35">
        <v>121928</v>
      </c>
    </row>
    <row r="10" spans="1:23" x14ac:dyDescent="0.3">
      <c r="C10" s="2" t="s">
        <v>8</v>
      </c>
      <c r="D10" s="2">
        <v>330</v>
      </c>
      <c r="F10" s="2">
        <f>ROUNDDOWN(G10/D10,0)</f>
        <v>15888</v>
      </c>
      <c r="G10" s="2">
        <v>5243313</v>
      </c>
      <c r="I10" s="2">
        <f>ROUNDDOWN(F10*(1+$L$2),0)</f>
        <v>15888</v>
      </c>
      <c r="K10" s="8"/>
      <c r="L10" s="12"/>
      <c r="M10" s="2">
        <f>ROUNDDOWN((M9*1.5),0)</f>
        <v>330</v>
      </c>
      <c r="O10" s="2">
        <f t="shared" ref="O10:O13" si="0">I10*M10</f>
        <v>5243040</v>
      </c>
      <c r="Q10" s="2">
        <f>M10-D10</f>
        <v>0</v>
      </c>
      <c r="T10" s="35">
        <v>222</v>
      </c>
      <c r="U10" s="35">
        <v>2</v>
      </c>
      <c r="V10" s="36">
        <f t="shared" ref="V10:V17" si="1">U10/$T$8</f>
        <v>9.0909090909090905E-3</v>
      </c>
      <c r="W10" s="35">
        <v>260061</v>
      </c>
    </row>
    <row r="11" spans="1:23" x14ac:dyDescent="0.3">
      <c r="C11" s="2" t="s">
        <v>9</v>
      </c>
      <c r="D11" s="2">
        <v>680</v>
      </c>
      <c r="F11" s="2">
        <f>ROUNDDOWN(G11/D11,0)</f>
        <v>814</v>
      </c>
      <c r="G11" s="2">
        <v>553866</v>
      </c>
      <c r="I11" s="2">
        <f>ROUNDDOWN(F11*(1+$L$2),0)</f>
        <v>814</v>
      </c>
      <c r="K11" s="12">
        <v>0</v>
      </c>
      <c r="L11" s="12">
        <f>M11/D11-1</f>
        <v>0</v>
      </c>
      <c r="M11" s="2">
        <f>ROUNDDOWN(D11*(1+K11),0)</f>
        <v>680</v>
      </c>
      <c r="O11" s="11">
        <f t="shared" si="0"/>
        <v>553520</v>
      </c>
      <c r="Q11" s="2">
        <f>M11-D11</f>
        <v>0</v>
      </c>
      <c r="T11" s="35">
        <v>223</v>
      </c>
      <c r="U11" s="35">
        <v>3</v>
      </c>
      <c r="V11" s="36">
        <f t="shared" si="1"/>
        <v>1.3636363636363636E-2</v>
      </c>
      <c r="W11" s="35">
        <v>381989</v>
      </c>
    </row>
    <row r="12" spans="1:23" x14ac:dyDescent="0.3">
      <c r="K12" s="12"/>
      <c r="L12" s="12"/>
      <c r="O12" s="38"/>
      <c r="T12" s="35">
        <v>224</v>
      </c>
      <c r="U12" s="35">
        <v>4</v>
      </c>
      <c r="V12" s="36">
        <f t="shared" si="1"/>
        <v>1.8181818181818181E-2</v>
      </c>
      <c r="W12" s="35">
        <v>520122</v>
      </c>
    </row>
    <row r="13" spans="1:23" x14ac:dyDescent="0.3">
      <c r="B13" s="2" t="s">
        <v>10</v>
      </c>
      <c r="D13" s="2">
        <v>507</v>
      </c>
      <c r="F13" s="2">
        <f>ROUNDDOWN(G13/D13,0)</f>
        <v>9593</v>
      </c>
      <c r="G13" s="2">
        <v>4863737</v>
      </c>
      <c r="I13" s="2">
        <f>ROUNDDOWN(F13*(1+$L$3),0)</f>
        <v>9593</v>
      </c>
      <c r="K13" s="12">
        <v>0</v>
      </c>
      <c r="L13" s="12">
        <f>M13/D13-1</f>
        <v>0</v>
      </c>
      <c r="M13" s="2">
        <f>ROUNDDOWN(D13*(1+K13),0)</f>
        <v>507</v>
      </c>
      <c r="O13" s="11">
        <f t="shared" si="0"/>
        <v>4863651</v>
      </c>
      <c r="Q13" s="2">
        <f>M13-D13</f>
        <v>0</v>
      </c>
      <c r="T13" s="35">
        <v>225</v>
      </c>
      <c r="U13" s="35">
        <v>5</v>
      </c>
      <c r="V13" s="36">
        <f t="shared" si="1"/>
        <v>2.2727272727272728E-2</v>
      </c>
      <c r="W13" s="35">
        <v>642050</v>
      </c>
    </row>
    <row r="14" spans="1:23" x14ac:dyDescent="0.3">
      <c r="B14" s="2" t="s">
        <v>103</v>
      </c>
      <c r="D14" s="2">
        <v>9160</v>
      </c>
      <c r="F14" s="2">
        <f>ROUNDDOWN(G14/D14,0)/4</f>
        <v>30.5</v>
      </c>
      <c r="G14" s="2">
        <v>1119766</v>
      </c>
      <c r="I14" s="2">
        <f>F14+15</f>
        <v>45.5</v>
      </c>
      <c r="K14" s="12">
        <v>0</v>
      </c>
      <c r="L14" s="12">
        <f>M14/D14-1</f>
        <v>0</v>
      </c>
      <c r="M14" s="2">
        <f>ROUNDDOWN(D14*(1+K14),0)</f>
        <v>9160</v>
      </c>
      <c r="O14" s="11">
        <f>I14*M14*4</f>
        <v>1667120</v>
      </c>
      <c r="Q14" s="2">
        <f>M14-D14</f>
        <v>0</v>
      </c>
      <c r="T14" s="35">
        <v>226</v>
      </c>
      <c r="U14" s="35">
        <v>6</v>
      </c>
      <c r="V14" s="36">
        <f t="shared" si="1"/>
        <v>2.7272727272727271E-2</v>
      </c>
      <c r="W14" s="35">
        <v>780183</v>
      </c>
    </row>
    <row r="15" spans="1:23" x14ac:dyDescent="0.3">
      <c r="K15" s="8"/>
      <c r="L15" s="12"/>
      <c r="O15" s="38"/>
      <c r="T15" s="35">
        <v>227</v>
      </c>
      <c r="U15" s="35">
        <v>7</v>
      </c>
      <c r="V15" s="36">
        <f t="shared" si="1"/>
        <v>3.1818181818181815E-2</v>
      </c>
      <c r="W15" s="35">
        <v>902111</v>
      </c>
    </row>
    <row r="16" spans="1:23" x14ac:dyDescent="0.3">
      <c r="B16" s="2" t="s">
        <v>11</v>
      </c>
      <c r="F16" s="4">
        <v>0</v>
      </c>
      <c r="G16" s="4">
        <v>50000</v>
      </c>
      <c r="I16" s="4">
        <v>0</v>
      </c>
      <c r="K16" s="10"/>
      <c r="L16" s="14"/>
      <c r="O16" s="4">
        <f>G16</f>
        <v>50000</v>
      </c>
      <c r="T16" s="35">
        <v>228</v>
      </c>
      <c r="U16" s="35">
        <v>8</v>
      </c>
      <c r="V16" s="36">
        <f t="shared" si="1"/>
        <v>3.6363636363636362E-2</v>
      </c>
      <c r="W16" s="35">
        <v>1040244</v>
      </c>
    </row>
    <row r="17" spans="1:23" x14ac:dyDescent="0.3">
      <c r="K17" s="10"/>
      <c r="L17" s="14"/>
      <c r="T17" s="35">
        <v>229</v>
      </c>
      <c r="U17" s="35">
        <v>9</v>
      </c>
      <c r="V17" s="36">
        <f t="shared" si="1"/>
        <v>4.0909090909090909E-2</v>
      </c>
      <c r="W17" s="35">
        <v>1162172</v>
      </c>
    </row>
    <row r="18" spans="1:23" x14ac:dyDescent="0.3">
      <c r="B18" s="2" t="s">
        <v>12</v>
      </c>
      <c r="F18" s="2">
        <f>SUM(F9:F16)</f>
        <v>129975.5</v>
      </c>
      <c r="G18" s="2">
        <f>SUM(G9:G16)</f>
        <v>34633842</v>
      </c>
      <c r="I18" s="2">
        <f>SUM(I9:I16)</f>
        <v>129990.5</v>
      </c>
      <c r="K18" s="10"/>
      <c r="L18" s="14"/>
      <c r="O18" s="2">
        <f>SUM(O9:O16)</f>
        <v>35180331</v>
      </c>
      <c r="T18" s="35">
        <v>230</v>
      </c>
      <c r="U18" s="35">
        <v>10</v>
      </c>
      <c r="V18" s="36">
        <f t="shared" ref="V18" si="2">U18/$T$8</f>
        <v>4.5454545454545456E-2</v>
      </c>
      <c r="W18" s="35">
        <v>1300305</v>
      </c>
    </row>
    <row r="19" spans="1:23" ht="14.4" customHeight="1" x14ac:dyDescent="0.3">
      <c r="K19" s="10"/>
      <c r="L19" s="14"/>
      <c r="T19" s="35">
        <v>231</v>
      </c>
      <c r="U19" s="35">
        <v>11</v>
      </c>
      <c r="V19" s="36">
        <f t="shared" ref="V19" si="3">U19/$T$8</f>
        <v>0.05</v>
      </c>
      <c r="W19" s="35">
        <v>1422233</v>
      </c>
    </row>
    <row r="20" spans="1:23" x14ac:dyDescent="0.3">
      <c r="B20" s="2" t="s">
        <v>50</v>
      </c>
      <c r="G20" s="2">
        <v>2800000</v>
      </c>
      <c r="O20" s="2">
        <f>ROUNDDOWN(G20*(1+L2),0)</f>
        <v>2800000</v>
      </c>
      <c r="T20" s="42" t="s">
        <v>105</v>
      </c>
      <c r="U20" s="43"/>
      <c r="V20" s="43"/>
      <c r="W20" s="44"/>
    </row>
    <row r="21" spans="1:23" x14ac:dyDescent="0.3">
      <c r="B21" s="2" t="s">
        <v>51</v>
      </c>
      <c r="G21" s="2">
        <v>1350000</v>
      </c>
      <c r="O21" s="2">
        <f>G21</f>
        <v>1350000</v>
      </c>
      <c r="T21" s="45"/>
      <c r="U21" s="46"/>
      <c r="V21" s="46"/>
      <c r="W21" s="47"/>
    </row>
    <row r="22" spans="1:23" x14ac:dyDescent="0.3">
      <c r="B22" s="2" t="s">
        <v>13</v>
      </c>
      <c r="G22" s="4">
        <v>-5900000</v>
      </c>
      <c r="O22" s="4">
        <v>-5900000</v>
      </c>
      <c r="T22" s="48"/>
      <c r="U22" s="49"/>
      <c r="V22" s="49"/>
      <c r="W22" s="50"/>
    </row>
    <row r="24" spans="1:23" x14ac:dyDescent="0.3">
      <c r="B24" s="2" t="s">
        <v>14</v>
      </c>
      <c r="G24" s="2">
        <f>SUM(G18:G23)</f>
        <v>32883842</v>
      </c>
      <c r="I24" s="33">
        <f>G24/G32</f>
        <v>0.45021472514261707</v>
      </c>
      <c r="O24" s="2">
        <f>SUM(O18:O22)</f>
        <v>33430331</v>
      </c>
    </row>
    <row r="26" spans="1:23" x14ac:dyDescent="0.3">
      <c r="B26" s="2" t="s">
        <v>15</v>
      </c>
      <c r="G26" s="2">
        <v>35006510</v>
      </c>
      <c r="I26" s="33">
        <f>G26/G32</f>
        <v>0.47927630469250748</v>
      </c>
      <c r="O26" s="11">
        <f>307552+34763999/0.49*0.51</f>
        <v>36490489.734693885</v>
      </c>
      <c r="Q26" s="2" t="s">
        <v>123</v>
      </c>
    </row>
    <row r="27" spans="1:23" x14ac:dyDescent="0.3">
      <c r="B27" s="2" t="s">
        <v>16</v>
      </c>
      <c r="G27" s="2">
        <v>1900000</v>
      </c>
      <c r="O27" s="2">
        <f>G27</f>
        <v>1900000</v>
      </c>
    </row>
    <row r="28" spans="1:23" x14ac:dyDescent="0.3">
      <c r="B28" s="2" t="s">
        <v>17</v>
      </c>
      <c r="G28" s="2">
        <v>2500000</v>
      </c>
      <c r="O28" s="2">
        <f>G28</f>
        <v>2500000</v>
      </c>
    </row>
    <row r="29" spans="1:23" x14ac:dyDescent="0.3">
      <c r="B29" s="2" t="s">
        <v>18</v>
      </c>
      <c r="G29" s="2">
        <v>500000</v>
      </c>
      <c r="O29" s="2">
        <f>G29</f>
        <v>500000</v>
      </c>
    </row>
    <row r="30" spans="1:23" x14ac:dyDescent="0.3">
      <c r="B30" s="2" t="s">
        <v>19</v>
      </c>
      <c r="G30" s="4">
        <v>250000</v>
      </c>
      <c r="O30" s="4">
        <f>G30</f>
        <v>250000</v>
      </c>
    </row>
    <row r="32" spans="1:23" x14ac:dyDescent="0.3">
      <c r="A32" s="1" t="s">
        <v>20</v>
      </c>
      <c r="G32" s="2">
        <f>SUM(G24:G30)</f>
        <v>73040352</v>
      </c>
      <c r="O32" s="2">
        <f>SUM(O24:O30)</f>
        <v>75070820.734693885</v>
      </c>
    </row>
    <row r="34" spans="1:17" x14ac:dyDescent="0.3">
      <c r="A34" s="1" t="s">
        <v>26</v>
      </c>
      <c r="O34" s="1"/>
      <c r="Q34" s="1"/>
    </row>
    <row r="35" spans="1:17" x14ac:dyDescent="0.3">
      <c r="B35" s="15" t="s">
        <v>27</v>
      </c>
      <c r="G35" s="2">
        <v>61346314</v>
      </c>
      <c r="O35" s="2">
        <v>63023648</v>
      </c>
    </row>
    <row r="36" spans="1:17" x14ac:dyDescent="0.3">
      <c r="B36" s="16" t="s">
        <v>28</v>
      </c>
      <c r="G36" s="4">
        <v>9746378</v>
      </c>
      <c r="O36" s="4">
        <f>13325211-3190720</f>
        <v>10134491</v>
      </c>
    </row>
    <row r="37" spans="1:17" x14ac:dyDescent="0.3">
      <c r="B37" s="16"/>
      <c r="G37" s="5"/>
      <c r="O37" s="5"/>
    </row>
    <row r="38" spans="1:17" x14ac:dyDescent="0.3">
      <c r="B38" s="16" t="s">
        <v>29</v>
      </c>
      <c r="G38" s="2">
        <f>SUM(G35:G36)</f>
        <v>71092692</v>
      </c>
      <c r="O38" s="2">
        <f>SUM(O35:O36)</f>
        <v>73158139</v>
      </c>
    </row>
    <row r="39" spans="1:17" x14ac:dyDescent="0.3">
      <c r="B39" s="16" t="s">
        <v>31</v>
      </c>
      <c r="G39" s="4">
        <v>5501318</v>
      </c>
      <c r="O39" s="4">
        <f>G39*1.03</f>
        <v>5666357.54</v>
      </c>
    </row>
    <row r="40" spans="1:17" x14ac:dyDescent="0.3">
      <c r="B40" s="16"/>
    </row>
    <row r="41" spans="1:17" x14ac:dyDescent="0.3">
      <c r="A41" s="21" t="s">
        <v>30</v>
      </c>
      <c r="G41" s="2">
        <f>SUM(G38:G39)</f>
        <v>76594010</v>
      </c>
      <c r="O41" s="2">
        <f>SUM(O38:O39)</f>
        <v>78824496.540000007</v>
      </c>
    </row>
    <row r="42" spans="1:17" x14ac:dyDescent="0.3">
      <c r="A42" s="22"/>
    </row>
    <row r="43" spans="1:17" x14ac:dyDescent="0.3">
      <c r="A43" s="21" t="s">
        <v>53</v>
      </c>
      <c r="G43" s="2">
        <f>G32-G41</f>
        <v>-3553658</v>
      </c>
      <c r="O43" s="2">
        <f>O32-O41</f>
        <v>-3753675.8053061217</v>
      </c>
      <c r="Q43" s="2" t="s">
        <v>124</v>
      </c>
    </row>
    <row r="44" spans="1:17" x14ac:dyDescent="0.3">
      <c r="A44" s="6" t="s">
        <v>54</v>
      </c>
      <c r="B44" s="17"/>
      <c r="G44" s="4">
        <v>578110</v>
      </c>
      <c r="O44" s="4">
        <v>0</v>
      </c>
    </row>
    <row r="45" spans="1:17" x14ac:dyDescent="0.3">
      <c r="A45" s="23" t="s">
        <v>52</v>
      </c>
      <c r="G45" s="2">
        <f>G43-G44</f>
        <v>-4131768</v>
      </c>
      <c r="O45" s="2">
        <f>O43-O44</f>
        <v>-3753675.8053061217</v>
      </c>
    </row>
    <row r="46" spans="1:17" x14ac:dyDescent="0.3">
      <c r="A46" s="23"/>
    </row>
    <row r="47" spans="1:17" x14ac:dyDescent="0.3">
      <c r="A47" s="2" t="s">
        <v>55</v>
      </c>
      <c r="G47" s="4">
        <v>13590137</v>
      </c>
      <c r="O47" s="4">
        <f>G48</f>
        <v>9458369</v>
      </c>
    </row>
    <row r="48" spans="1:17" x14ac:dyDescent="0.3">
      <c r="A48" s="2" t="s">
        <v>56</v>
      </c>
      <c r="G48" s="2">
        <f>G47+G45</f>
        <v>9458369</v>
      </c>
      <c r="O48" s="28">
        <f>O47+O45</f>
        <v>5704693.1946938783</v>
      </c>
    </row>
    <row r="49" spans="1:17" x14ac:dyDescent="0.3">
      <c r="A49" s="2" t="s">
        <v>57</v>
      </c>
      <c r="G49" s="8">
        <f>G48/G32</f>
        <v>0.12949511798628791</v>
      </c>
      <c r="O49" s="32">
        <f>O48/O32</f>
        <v>7.5990819586943203E-2</v>
      </c>
      <c r="Q49" s="2" t="s">
        <v>94</v>
      </c>
    </row>
    <row r="52" spans="1:17" x14ac:dyDescent="0.3">
      <c r="B52" s="2" t="s">
        <v>122</v>
      </c>
    </row>
  </sheetData>
  <mergeCells count="3">
    <mergeCell ref="F5:G5"/>
    <mergeCell ref="K5:M5"/>
    <mergeCell ref="T20:W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BC636-00C3-42EC-952B-21205F0F0C6F}">
  <dimension ref="A1:U43"/>
  <sheetViews>
    <sheetView zoomScaleNormal="100" workbookViewId="0">
      <selection activeCell="E39" sqref="E39"/>
    </sheetView>
  </sheetViews>
  <sheetFormatPr defaultColWidth="9.109375" defaultRowHeight="14.4" x14ac:dyDescent="0.3"/>
  <cols>
    <col min="1" max="1" width="2.6640625" style="2" customWidth="1"/>
    <col min="2" max="2" width="19.21875" style="2" customWidth="1"/>
    <col min="3" max="3" width="13.33203125" style="2" bestFit="1" customWidth="1"/>
    <col min="4" max="4" width="2.6640625" style="2" customWidth="1"/>
    <col min="5" max="5" width="12.44140625" style="2" bestFit="1" customWidth="1"/>
    <col min="6" max="6" width="2.6640625" style="2" customWidth="1"/>
    <col min="7" max="7" width="21.6640625" style="2" bestFit="1" customWidth="1"/>
    <col min="8" max="8" width="14.44140625" style="2" bestFit="1" customWidth="1"/>
    <col min="9" max="9" width="15.33203125" style="2" bestFit="1" customWidth="1"/>
    <col min="10" max="10" width="11.33203125" style="2" bestFit="1" customWidth="1"/>
    <col min="11" max="11" width="18" style="2" bestFit="1" customWidth="1"/>
    <col min="12" max="12" width="2.6640625" style="2" customWidth="1"/>
    <col min="13" max="13" width="13.109375" style="2" bestFit="1" customWidth="1"/>
    <col min="14" max="14" width="2.6640625" style="2" customWidth="1"/>
    <col min="15" max="15" width="13.5546875" style="2" bestFit="1" customWidth="1"/>
    <col min="16" max="16" width="2.6640625" style="2" customWidth="1"/>
    <col min="17" max="17" width="11.33203125" style="2" bestFit="1" customWidth="1"/>
    <col min="18" max="18" width="11.88671875" style="2" bestFit="1" customWidth="1"/>
    <col min="19" max="19" width="2.6640625" style="2" customWidth="1"/>
    <col min="20" max="20" width="12.88671875" style="2" bestFit="1" customWidth="1"/>
    <col min="21" max="16384" width="9.109375" style="2"/>
  </cols>
  <sheetData>
    <row r="1" spans="1:21" x14ac:dyDescent="0.3">
      <c r="A1" s="7" t="s">
        <v>0</v>
      </c>
    </row>
    <row r="2" spans="1:21" x14ac:dyDescent="0.3">
      <c r="A2" s="7" t="s">
        <v>2</v>
      </c>
      <c r="G2" s="26">
        <v>13</v>
      </c>
      <c r="H2" s="2" t="s">
        <v>78</v>
      </c>
    </row>
    <row r="3" spans="1:21" x14ac:dyDescent="0.3">
      <c r="A3" s="18" t="s">
        <v>47</v>
      </c>
      <c r="G3" s="11">
        <v>9</v>
      </c>
      <c r="H3" s="2" t="s">
        <v>79</v>
      </c>
    </row>
    <row r="5" spans="1:21" s="3" customFormat="1" x14ac:dyDescent="0.3">
      <c r="C5" s="3" t="s">
        <v>21</v>
      </c>
      <c r="E5" s="3" t="s">
        <v>115</v>
      </c>
      <c r="H5" s="40" t="s">
        <v>44</v>
      </c>
      <c r="I5" s="40"/>
      <c r="J5" s="40"/>
      <c r="K5" s="3" t="s">
        <v>3</v>
      </c>
      <c r="M5" s="3" t="s">
        <v>38</v>
      </c>
      <c r="O5" s="3" t="s">
        <v>38</v>
      </c>
      <c r="Q5" s="40" t="s">
        <v>46</v>
      </c>
      <c r="R5" s="40"/>
      <c r="T5" s="41"/>
      <c r="U5" s="41"/>
    </row>
    <row r="6" spans="1:21" s="3" customFormat="1" x14ac:dyDescent="0.3">
      <c r="C6" s="3" t="s">
        <v>22</v>
      </c>
      <c r="E6" s="3" t="s">
        <v>32</v>
      </c>
      <c r="G6" s="3" t="s">
        <v>33</v>
      </c>
      <c r="H6" s="3" t="s">
        <v>34</v>
      </c>
      <c r="I6" s="3" t="s">
        <v>35</v>
      </c>
      <c r="J6" s="3" t="s">
        <v>36</v>
      </c>
      <c r="K6" s="3" t="s">
        <v>37</v>
      </c>
      <c r="M6" s="3" t="s">
        <v>114</v>
      </c>
      <c r="O6" s="3" t="s">
        <v>102</v>
      </c>
      <c r="Q6" s="3" t="s">
        <v>43</v>
      </c>
      <c r="R6" s="3" t="s">
        <v>23</v>
      </c>
      <c r="T6" s="19"/>
      <c r="U6" s="19"/>
    </row>
    <row r="7" spans="1:21" x14ac:dyDescent="0.3">
      <c r="A7" s="2" t="s">
        <v>39</v>
      </c>
      <c r="T7" s="5"/>
      <c r="U7" s="5"/>
    </row>
    <row r="8" spans="1:21" x14ac:dyDescent="0.3">
      <c r="B8" s="2" t="s">
        <v>40</v>
      </c>
      <c r="C8" s="2">
        <v>220</v>
      </c>
      <c r="E8" s="2">
        <f>University!M9</f>
        <v>220</v>
      </c>
      <c r="G8" s="2">
        <f>E8*$G$2</f>
        <v>2860</v>
      </c>
      <c r="H8" s="2">
        <f>IF(AND($G$2&gt;0, $G$2&lt;13), 63+36+2*($G$2-1), IF($G$2&gt;12, 58+63,0))</f>
        <v>121</v>
      </c>
      <c r="I8" s="26">
        <v>183</v>
      </c>
      <c r="J8" s="2">
        <v>435</v>
      </c>
      <c r="K8" s="2">
        <f>SUM(G8:J8)</f>
        <v>3599</v>
      </c>
      <c r="M8" s="2">
        <f>K8*3</f>
        <v>10797</v>
      </c>
      <c r="O8" s="2">
        <f>(C8*$G$2)*3+IF(AND($G$2&gt;0, $G$2&lt;13), 435+183+53+36+2*($G$2-1), IF($G$2&gt;12, 435+58+183+53,0))*3</f>
        <v>10767</v>
      </c>
      <c r="Q8" s="2">
        <f>M8-O8</f>
        <v>30</v>
      </c>
      <c r="R8" s="8">
        <f>Q8/O8</f>
        <v>2.7862914460852605E-3</v>
      </c>
      <c r="T8" s="5"/>
      <c r="U8" s="20"/>
    </row>
    <row r="9" spans="1:21" x14ac:dyDescent="0.3">
      <c r="B9" s="2" t="s">
        <v>41</v>
      </c>
      <c r="C9" s="2">
        <v>330</v>
      </c>
      <c r="E9" s="2">
        <f>University!M10</f>
        <v>330</v>
      </c>
      <c r="G9" s="2">
        <f>E9*$G$2</f>
        <v>4290</v>
      </c>
      <c r="H9" s="2">
        <f t="shared" ref="H9:J12" si="0">H$8</f>
        <v>121</v>
      </c>
      <c r="I9" s="2">
        <f t="shared" si="0"/>
        <v>183</v>
      </c>
      <c r="J9" s="2">
        <f t="shared" si="0"/>
        <v>435</v>
      </c>
      <c r="K9" s="2">
        <f t="shared" ref="K9:K12" si="1">SUM(G9:J9)</f>
        <v>5029</v>
      </c>
      <c r="M9" s="2">
        <f t="shared" ref="M9:M12" si="2">K9*3</f>
        <v>15087</v>
      </c>
      <c r="O9" s="2">
        <f>(C9*$G$2)*3+IF(AND($G$2&gt;0, $G$2&lt;13), 435+183+53+36+2*($G$2-1), IF($G$2&gt;12, 435+58+183+53,0))*3</f>
        <v>15057</v>
      </c>
      <c r="Q9" s="2">
        <f t="shared" ref="Q9:Q10" si="3">M9-O9</f>
        <v>30</v>
      </c>
      <c r="R9" s="8">
        <f t="shared" ref="R9:R12" si="4">Q9/O9</f>
        <v>1.9924287706714486E-3</v>
      </c>
      <c r="T9" s="5"/>
      <c r="U9" s="20"/>
    </row>
    <row r="10" spans="1:21" x14ac:dyDescent="0.3">
      <c r="B10" s="2" t="s">
        <v>42</v>
      </c>
      <c r="C10" s="2">
        <v>680</v>
      </c>
      <c r="E10" s="2">
        <f>University!M11</f>
        <v>680</v>
      </c>
      <c r="G10" s="2">
        <f>E10*$G$2</f>
        <v>8840</v>
      </c>
      <c r="H10" s="2">
        <f t="shared" si="0"/>
        <v>121</v>
      </c>
      <c r="I10" s="2">
        <f t="shared" si="0"/>
        <v>183</v>
      </c>
      <c r="J10" s="2">
        <f t="shared" si="0"/>
        <v>435</v>
      </c>
      <c r="K10" s="2">
        <f t="shared" si="1"/>
        <v>9579</v>
      </c>
      <c r="M10" s="2">
        <f t="shared" si="2"/>
        <v>28737</v>
      </c>
      <c r="O10" s="2">
        <f>(C10*$G$2)*3+IF(AND($G$2&gt;0, $G$2&lt;13), 435+183+53+36+2*($G$2-1), IF($G$2&gt;12, 435+58+183+53,0))*3</f>
        <v>28707</v>
      </c>
      <c r="Q10" s="2">
        <f t="shared" si="3"/>
        <v>30</v>
      </c>
      <c r="R10" s="8">
        <f t="shared" si="4"/>
        <v>1.0450412791305256E-3</v>
      </c>
      <c r="T10" s="5"/>
      <c r="U10" s="20"/>
    </row>
    <row r="11" spans="1:21" x14ac:dyDescent="0.3">
      <c r="R11" s="8"/>
      <c r="T11" s="5"/>
      <c r="U11" s="20"/>
    </row>
    <row r="12" spans="1:21" x14ac:dyDescent="0.3">
      <c r="A12" s="2" t="s">
        <v>108</v>
      </c>
      <c r="C12" s="2">
        <v>507</v>
      </c>
      <c r="E12" s="2">
        <f>University!M13</f>
        <v>507</v>
      </c>
      <c r="G12" s="2">
        <f>E12*$G$3</f>
        <v>4563</v>
      </c>
      <c r="H12" s="2">
        <f>IF(AND($G$3&gt;0, $G$3&lt;9), 63+36+2*($G$3-1), IF($G$3&gt;8, 58+63,0))</f>
        <v>121</v>
      </c>
      <c r="I12" s="2">
        <f t="shared" si="0"/>
        <v>183</v>
      </c>
      <c r="J12" s="2">
        <f t="shared" si="0"/>
        <v>435</v>
      </c>
      <c r="K12" s="2">
        <f t="shared" si="1"/>
        <v>5302</v>
      </c>
      <c r="M12" s="2">
        <f t="shared" si="2"/>
        <v>15906</v>
      </c>
      <c r="O12" s="2">
        <f>(C12*$G$3+IF(AND($G$3&gt;0, $G$3&lt;9), 435+183+53+36+2*($G$3-1), IF($G$3&gt;8, 435+58+183+53,0)))*3</f>
        <v>15876</v>
      </c>
      <c r="Q12" s="2">
        <f>M12-O12</f>
        <v>30</v>
      </c>
      <c r="R12" s="8">
        <f t="shared" si="4"/>
        <v>1.889644746787604E-3</v>
      </c>
      <c r="T12" s="5"/>
      <c r="U12" s="20"/>
    </row>
    <row r="13" spans="1:21" x14ac:dyDescent="0.3">
      <c r="R13" s="8"/>
      <c r="T13" s="5"/>
      <c r="U13" s="20"/>
    </row>
    <row r="15" spans="1:21" x14ac:dyDescent="0.3">
      <c r="C15" s="1" t="s">
        <v>45</v>
      </c>
    </row>
    <row r="16" spans="1:21" x14ac:dyDescent="0.3">
      <c r="D16" s="2" t="s">
        <v>111</v>
      </c>
    </row>
    <row r="17" spans="1:9" x14ac:dyDescent="0.3">
      <c r="E17" s="2" t="s">
        <v>116</v>
      </c>
    </row>
    <row r="18" spans="1:9" x14ac:dyDescent="0.3">
      <c r="D18" s="2" t="s">
        <v>112</v>
      </c>
    </row>
    <row r="19" spans="1:9" x14ac:dyDescent="0.3">
      <c r="D19" s="2" t="s">
        <v>113</v>
      </c>
    </row>
    <row r="20" spans="1:9" x14ac:dyDescent="0.3">
      <c r="C20" s="2" t="s">
        <v>110</v>
      </c>
    </row>
    <row r="23" spans="1:9" x14ac:dyDescent="0.3">
      <c r="A23" s="1" t="s">
        <v>58</v>
      </c>
    </row>
    <row r="24" spans="1:9" x14ac:dyDescent="0.3">
      <c r="B24" s="2" t="s">
        <v>59</v>
      </c>
      <c r="E24" s="2">
        <f>M8</f>
        <v>10797</v>
      </c>
      <c r="G24" s="2" t="s">
        <v>76</v>
      </c>
    </row>
    <row r="25" spans="1:9" x14ac:dyDescent="0.3">
      <c r="I25" s="37" t="s">
        <v>77</v>
      </c>
    </row>
    <row r="26" spans="1:9" x14ac:dyDescent="0.3">
      <c r="A26" s="2" t="s">
        <v>60</v>
      </c>
    </row>
    <row r="27" spans="1:9" x14ac:dyDescent="0.3">
      <c r="B27" s="2" t="s">
        <v>62</v>
      </c>
      <c r="E27" s="26">
        <v>7395</v>
      </c>
      <c r="F27" s="2" t="s">
        <v>118</v>
      </c>
    </row>
    <row r="28" spans="1:9" x14ac:dyDescent="0.3">
      <c r="B28" s="2" t="s">
        <v>61</v>
      </c>
      <c r="E28" s="26">
        <v>0</v>
      </c>
      <c r="F28" s="2" t="s">
        <v>117</v>
      </c>
    </row>
    <row r="29" spans="1:9" x14ac:dyDescent="0.3">
      <c r="B29" s="2" t="s">
        <v>63</v>
      </c>
      <c r="E29" s="26">
        <v>5500</v>
      </c>
      <c r="F29" s="2" t="s">
        <v>65</v>
      </c>
    </row>
    <row r="30" spans="1:9" x14ac:dyDescent="0.3">
      <c r="B30" s="2" t="s">
        <v>80</v>
      </c>
      <c r="E30" s="26">
        <v>0</v>
      </c>
      <c r="F30" s="2" t="s">
        <v>100</v>
      </c>
    </row>
    <row r="31" spans="1:9" x14ac:dyDescent="0.3">
      <c r="B31" s="2" t="s">
        <v>64</v>
      </c>
      <c r="E31" s="26">
        <v>1000</v>
      </c>
      <c r="F31" s="2" t="s">
        <v>75</v>
      </c>
    </row>
    <row r="32" spans="1:9" ht="16.2" x14ac:dyDescent="0.45">
      <c r="B32" s="2" t="s">
        <v>73</v>
      </c>
      <c r="E32" s="27">
        <v>1500</v>
      </c>
      <c r="F32" s="2" t="s">
        <v>74</v>
      </c>
    </row>
    <row r="33" spans="1:7" ht="16.2" x14ac:dyDescent="0.45">
      <c r="B33" s="2" t="s">
        <v>66</v>
      </c>
      <c r="E33" s="24">
        <f>SUM(E27:E32)</f>
        <v>15395</v>
      </c>
    </row>
    <row r="35" spans="1:7" x14ac:dyDescent="0.3">
      <c r="A35" s="2" t="s">
        <v>67</v>
      </c>
      <c r="E35" s="2">
        <f>E24-SUM(E27:E32)</f>
        <v>-4598</v>
      </c>
      <c r="G35" s="2" t="s">
        <v>93</v>
      </c>
    </row>
    <row r="38" spans="1:7" x14ac:dyDescent="0.3">
      <c r="A38" s="1" t="s">
        <v>72</v>
      </c>
    </row>
    <row r="39" spans="1:7" x14ac:dyDescent="0.3">
      <c r="B39" s="2" t="s">
        <v>106</v>
      </c>
      <c r="E39" s="25" t="s">
        <v>69</v>
      </c>
      <c r="G39" s="2" t="s">
        <v>107</v>
      </c>
    </row>
    <row r="40" spans="1:7" x14ac:dyDescent="0.3">
      <c r="B40" s="2" t="s">
        <v>68</v>
      </c>
      <c r="E40" s="2">
        <v>3000</v>
      </c>
    </row>
    <row r="41" spans="1:7" x14ac:dyDescent="0.3">
      <c r="B41" s="2" t="s">
        <v>70</v>
      </c>
      <c r="E41" s="2">
        <v>6000</v>
      </c>
    </row>
    <row r="43" spans="1:7" x14ac:dyDescent="0.3">
      <c r="B43" s="2" t="s">
        <v>71</v>
      </c>
    </row>
  </sheetData>
  <mergeCells count="3">
    <mergeCell ref="H5:J5"/>
    <mergeCell ref="T5:U5"/>
    <mergeCell ref="Q5:R5"/>
  </mergeCells>
  <hyperlinks>
    <hyperlink ref="I25" r:id="rId1" xr:uid="{65C0547A-E247-4631-A52B-E333456D7C19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B920-5515-4086-A4C7-048A6B09EE0A}">
  <dimension ref="A1:W20"/>
  <sheetViews>
    <sheetView zoomScaleNormal="100" zoomScaleSheetLayoutView="112" workbookViewId="0">
      <selection activeCell="F20" sqref="F20"/>
    </sheetView>
  </sheetViews>
  <sheetFormatPr defaultRowHeight="14.4" x14ac:dyDescent="0.3"/>
  <cols>
    <col min="1" max="2" width="2.6640625" customWidth="1"/>
    <col min="3" max="3" width="16.6640625" bestFit="1" customWidth="1"/>
    <col min="4" max="14" width="10.6640625" customWidth="1"/>
    <col min="21" max="21" width="9.88671875" bestFit="1" customWidth="1"/>
    <col min="22" max="22" width="10.44140625" bestFit="1" customWidth="1"/>
  </cols>
  <sheetData>
    <row r="1" spans="1:23" x14ac:dyDescent="0.3">
      <c r="A1" s="29" t="s">
        <v>0</v>
      </c>
      <c r="E1" s="29"/>
      <c r="F1" s="29"/>
      <c r="G1" s="29"/>
      <c r="H1" s="29"/>
      <c r="I1" s="29"/>
      <c r="J1" s="29"/>
      <c r="K1" s="29"/>
      <c r="L1" s="29"/>
      <c r="M1" s="29"/>
      <c r="N1" s="31"/>
    </row>
    <row r="2" spans="1:23" x14ac:dyDescent="0.3">
      <c r="A2" t="s">
        <v>92</v>
      </c>
    </row>
    <row r="4" spans="1:23" x14ac:dyDescent="0.3">
      <c r="A4" s="29"/>
      <c r="B4" s="29"/>
      <c r="C4" s="29"/>
      <c r="J4" s="30"/>
      <c r="L4" s="30"/>
      <c r="N4" s="31"/>
      <c r="P4" s="31"/>
      <c r="R4" s="31"/>
      <c r="S4" s="31"/>
      <c r="U4" s="30"/>
      <c r="V4" s="31"/>
      <c r="W4" s="31"/>
    </row>
    <row r="5" spans="1:23" x14ac:dyDescent="0.3">
      <c r="A5" s="29"/>
      <c r="B5" s="29"/>
      <c r="C5" s="29"/>
      <c r="D5" s="29" t="s">
        <v>24</v>
      </c>
      <c r="E5" s="29" t="s">
        <v>43</v>
      </c>
      <c r="F5" s="29" t="s">
        <v>23</v>
      </c>
      <c r="V5" s="8"/>
      <c r="W5" s="8"/>
    </row>
    <row r="6" spans="1:23" x14ac:dyDescent="0.3">
      <c r="C6" s="30" t="s">
        <v>81</v>
      </c>
      <c r="D6">
        <v>143</v>
      </c>
    </row>
    <row r="7" spans="1:23" x14ac:dyDescent="0.3">
      <c r="C7" s="30" t="s">
        <v>82</v>
      </c>
      <c r="D7">
        <v>145</v>
      </c>
      <c r="E7">
        <f>D7-D6</f>
        <v>2</v>
      </c>
      <c r="F7" s="8">
        <f>E7/D6</f>
        <v>1.3986013986013986E-2</v>
      </c>
    </row>
    <row r="8" spans="1:23" x14ac:dyDescent="0.3">
      <c r="C8" s="30" t="s">
        <v>83</v>
      </c>
      <c r="D8">
        <v>148</v>
      </c>
      <c r="E8">
        <f t="shared" ref="E8:E15" si="0">D8-D7</f>
        <v>3</v>
      </c>
      <c r="F8" s="8">
        <f t="shared" ref="F8:F17" si="1">E8/D7</f>
        <v>2.0689655172413793E-2</v>
      </c>
    </row>
    <row r="9" spans="1:23" x14ac:dyDescent="0.3">
      <c r="C9" s="30" t="s">
        <v>84</v>
      </c>
      <c r="D9">
        <v>148</v>
      </c>
      <c r="E9">
        <f t="shared" si="0"/>
        <v>0</v>
      </c>
      <c r="F9" s="12">
        <f t="shared" si="1"/>
        <v>0</v>
      </c>
    </row>
    <row r="10" spans="1:23" x14ac:dyDescent="0.3">
      <c r="C10" s="30" t="s">
        <v>85</v>
      </c>
      <c r="D10">
        <v>151</v>
      </c>
      <c r="E10">
        <f t="shared" si="0"/>
        <v>3</v>
      </c>
      <c r="F10" s="12">
        <f t="shared" si="1"/>
        <v>2.0270270270270271E-2</v>
      </c>
    </row>
    <row r="11" spans="1:23" x14ac:dyDescent="0.3">
      <c r="C11" s="30" t="s">
        <v>86</v>
      </c>
      <c r="D11">
        <v>155</v>
      </c>
      <c r="E11">
        <f t="shared" si="0"/>
        <v>4</v>
      </c>
      <c r="F11" s="12">
        <f t="shared" si="1"/>
        <v>2.6490066225165563E-2</v>
      </c>
    </row>
    <row r="12" spans="1:23" x14ac:dyDescent="0.3">
      <c r="C12" s="30" t="s">
        <v>87</v>
      </c>
      <c r="D12">
        <v>165</v>
      </c>
      <c r="E12">
        <f t="shared" si="0"/>
        <v>10</v>
      </c>
      <c r="F12" s="12">
        <f t="shared" si="1"/>
        <v>6.4516129032258063E-2</v>
      </c>
    </row>
    <row r="13" spans="1:23" x14ac:dyDescent="0.3">
      <c r="C13" s="31" t="s">
        <v>88</v>
      </c>
      <c r="D13">
        <v>172</v>
      </c>
      <c r="E13">
        <f t="shared" si="0"/>
        <v>7</v>
      </c>
      <c r="F13" s="8">
        <f t="shared" si="1"/>
        <v>4.2424242424242427E-2</v>
      </c>
    </row>
    <row r="14" spans="1:23" x14ac:dyDescent="0.3">
      <c r="C14" s="31" t="s">
        <v>89</v>
      </c>
      <c r="D14">
        <v>176</v>
      </c>
      <c r="E14">
        <f t="shared" si="0"/>
        <v>4</v>
      </c>
      <c r="F14" s="8">
        <f t="shared" si="1"/>
        <v>2.3255813953488372E-2</v>
      </c>
    </row>
    <row r="15" spans="1:23" x14ac:dyDescent="0.3">
      <c r="C15" s="31" t="s">
        <v>90</v>
      </c>
      <c r="D15">
        <v>184</v>
      </c>
      <c r="E15">
        <f t="shared" si="0"/>
        <v>8</v>
      </c>
      <c r="F15" s="8">
        <f t="shared" si="1"/>
        <v>4.5454545454545456E-2</v>
      </c>
    </row>
    <row r="16" spans="1:23" x14ac:dyDescent="0.3">
      <c r="C16" s="30" t="s">
        <v>91</v>
      </c>
      <c r="D16">
        <v>188</v>
      </c>
      <c r="E16">
        <f>D16-D15</f>
        <v>4</v>
      </c>
      <c r="F16" s="8">
        <f t="shared" si="1"/>
        <v>2.1739130434782608E-2</v>
      </c>
    </row>
    <row r="17" spans="3:6" x14ac:dyDescent="0.3">
      <c r="C17" s="30" t="s">
        <v>98</v>
      </c>
      <c r="D17">
        <v>194</v>
      </c>
      <c r="E17">
        <f>D17-D16</f>
        <v>6</v>
      </c>
      <c r="F17" s="8">
        <f t="shared" si="1"/>
        <v>3.1914893617021274E-2</v>
      </c>
    </row>
    <row r="18" spans="3:6" x14ac:dyDescent="0.3">
      <c r="C18" s="30" t="s">
        <v>99</v>
      </c>
      <c r="D18">
        <v>200</v>
      </c>
      <c r="E18">
        <f>D18-D17</f>
        <v>6</v>
      </c>
      <c r="F18" s="8">
        <f t="shared" ref="F18:F20" si="2">E18/D17</f>
        <v>3.0927835051546393E-2</v>
      </c>
    </row>
    <row r="19" spans="3:6" x14ac:dyDescent="0.3">
      <c r="C19" s="30" t="s">
        <v>101</v>
      </c>
      <c r="D19">
        <v>210</v>
      </c>
      <c r="E19">
        <f>D19-D18</f>
        <v>10</v>
      </c>
      <c r="F19" s="8">
        <f t="shared" si="2"/>
        <v>0.05</v>
      </c>
    </row>
    <row r="20" spans="3:6" x14ac:dyDescent="0.3">
      <c r="C20" s="30" t="s">
        <v>109</v>
      </c>
      <c r="D20">
        <v>220</v>
      </c>
      <c r="E20">
        <f>D20-D19</f>
        <v>10</v>
      </c>
      <c r="F20" s="8">
        <f t="shared" si="2"/>
        <v>4.7619047619047616E-2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University</vt:lpstr>
      <vt:lpstr>Individual</vt:lpstr>
      <vt:lpstr>Historical</vt:lpstr>
    </vt:vector>
  </TitlesOfParts>
  <Company>Western Oregon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Camarie Campfield</dc:creator>
  <cp:lastModifiedBy>Camarie Moreno</cp:lastModifiedBy>
  <cp:lastPrinted>2020-01-31T17:54:30Z</cp:lastPrinted>
  <dcterms:created xsi:type="dcterms:W3CDTF">2020-01-30T19:08:38Z</dcterms:created>
  <dcterms:modified xsi:type="dcterms:W3CDTF">2026-01-05T18:16:51Z</dcterms:modified>
</cp:coreProperties>
</file>