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ortensenc/Downloads/"/>
    </mc:Choice>
  </mc:AlternateContent>
  <xr:revisionPtr revIDLastSave="0" documentId="13_ncr:1_{3EC886B4-47B8-1648-B917-E568492D2C29}" xr6:coauthVersionLast="47" xr6:coauthVersionMax="47" xr10:uidLastSave="{00000000-0000-0000-0000-000000000000}"/>
  <bookViews>
    <workbookView xWindow="0" yWindow="500" windowWidth="23260" windowHeight="12460" activeTab="1" xr2:uid="{577C2186-71AC-4BF1-BAF3-7A6D83E33A32}"/>
  </bookViews>
  <sheets>
    <sheet name="Budget" sheetId="1" r:id="rId1"/>
    <sheet name="Actual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3" i="2" l="1"/>
  <c r="D42" i="2"/>
  <c r="C67" i="2"/>
  <c r="D39" i="2" l="1"/>
  <c r="D30" i="2"/>
  <c r="C30" i="2"/>
  <c r="C15" i="2"/>
  <c r="D17" i="2"/>
  <c r="D9" i="2"/>
  <c r="D21" i="2" l="1"/>
  <c r="C6" i="2"/>
  <c r="C12" i="2" s="1"/>
  <c r="E7" i="2"/>
  <c r="E8" i="2"/>
  <c r="E9" i="2"/>
  <c r="E10" i="2"/>
  <c r="E11" i="2"/>
  <c r="D12" i="2"/>
  <c r="D18" i="2"/>
  <c r="E15" i="2"/>
  <c r="E16" i="2"/>
  <c r="E17" i="2"/>
  <c r="D22" i="2"/>
  <c r="E22" i="2"/>
  <c r="D66" i="2"/>
  <c r="E66" i="2" s="1"/>
  <c r="E44" i="2"/>
  <c r="C61" i="2"/>
  <c r="E61" i="2" s="1"/>
  <c r="E39" i="2"/>
  <c r="E60" i="2"/>
  <c r="E38" i="2"/>
  <c r="E59" i="2"/>
  <c r="E37" i="2"/>
  <c r="D40" i="2"/>
  <c r="D56" i="2"/>
  <c r="D34" i="2"/>
  <c r="E55" i="2"/>
  <c r="E33" i="2"/>
  <c r="E54" i="2"/>
  <c r="E32" i="2"/>
  <c r="E53" i="2"/>
  <c r="E31" i="2"/>
  <c r="E52" i="2"/>
  <c r="E30" i="2"/>
  <c r="E51" i="2"/>
  <c r="E29" i="2"/>
  <c r="C50" i="2"/>
  <c r="E50" i="2" s="1"/>
  <c r="C28" i="2"/>
  <c r="E28" i="2" s="1"/>
  <c r="B101" i="1"/>
  <c r="B92" i="1"/>
  <c r="B71" i="1"/>
  <c r="B52" i="1"/>
  <c r="B12" i="1"/>
  <c r="B16" i="1"/>
  <c r="B17" i="1"/>
  <c r="E6" i="2" l="1"/>
  <c r="C34" i="2"/>
  <c r="E34" i="2" s="1"/>
  <c r="D20" i="2"/>
  <c r="C56" i="2"/>
  <c r="E56" i="2" s="1"/>
  <c r="C18" i="2"/>
  <c r="E18" i="2" s="1"/>
  <c r="E12" i="2"/>
  <c r="E14" i="2"/>
  <c r="C40" i="2"/>
  <c r="E40" i="2" s="1"/>
  <c r="C62" i="2"/>
  <c r="D62" i="2"/>
  <c r="B22" i="1"/>
  <c r="C64" i="2" l="1"/>
  <c r="C68" i="2" s="1"/>
  <c r="E58" i="2"/>
  <c r="E62" i="2"/>
  <c r="C20" i="2"/>
  <c r="E36" i="2"/>
  <c r="D64" i="2"/>
  <c r="C42" i="2"/>
  <c r="B30" i="1"/>
  <c r="B31" i="1"/>
  <c r="C45" i="2" l="1"/>
  <c r="C46" i="2" s="1"/>
  <c r="E64" i="2"/>
  <c r="E20" i="2"/>
  <c r="E42" i="2"/>
  <c r="B36" i="1"/>
  <c r="B50" i="1" s="1"/>
  <c r="B69" i="1" s="1"/>
  <c r="B88" i="1" s="1"/>
  <c r="B105" i="1" s="1"/>
  <c r="C23" i="2" l="1"/>
  <c r="C24" i="2" s="1"/>
  <c r="E21" i="2" l="1"/>
  <c r="D24" i="2" l="1"/>
  <c r="E23" i="2"/>
  <c r="D43" i="2"/>
  <c r="D45" i="2" s="1"/>
  <c r="E43" i="2" l="1"/>
  <c r="E45" i="2" l="1"/>
  <c r="D46" i="2"/>
  <c r="D65" i="2"/>
  <c r="D67" i="2" s="1"/>
  <c r="E65" i="2" l="1"/>
  <c r="D68" i="2" l="1"/>
  <c r="E67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tc={27DFE820-1643-43EC-837E-2CE140234B4A}</author>
  </authors>
  <commentList>
    <comment ref="D67" authorId="0" shapeId="0" xr:uid="{27DFE820-1643-43EC-837E-2CE140234B4A}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S/B 13,590,137.30</t>
        </r>
      </text>
    </comment>
  </commentList>
</comments>
</file>

<file path=xl/sharedStrings.xml><?xml version="1.0" encoding="utf-8"?>
<sst xmlns="http://schemas.openxmlformats.org/spreadsheetml/2006/main" count="175" uniqueCount="134">
  <si>
    <t>Increase to Athletics Transfer</t>
  </si>
  <si>
    <t>FY23 Recurring Deficit</t>
  </si>
  <si>
    <t>FY24 Prelim Budget Recurring Deficit</t>
  </si>
  <si>
    <t>OPE on increases above</t>
  </si>
  <si>
    <t>Increase to S&amp;S - $163K correlated to grant indirects</t>
  </si>
  <si>
    <t>Increase to S&amp;S - $453K for utilities, offset by $170K increase to internal sales</t>
  </si>
  <si>
    <t>Other S&amp;S adjustments (Benefits navigator funding removed)</t>
  </si>
  <si>
    <t>Increase to Athletics subsidy</t>
  </si>
  <si>
    <t>Increase to Grants/Contracts (grant indirects)</t>
  </si>
  <si>
    <t>Budget Deficit Reconciliation</t>
  </si>
  <si>
    <t>FY24 Adjusted Budget Recurring Deficit</t>
  </si>
  <si>
    <t>FY25 Prelim Budget Recurring Deficit</t>
  </si>
  <si>
    <t>Net Change in Net Tuition/fees -- 2% enrollment decline + ~5% tuition increase</t>
  </si>
  <si>
    <t>Increase in tuition related to OTD (first cohort)</t>
  </si>
  <si>
    <t>Increase to state funding (year 2 of biennium)</t>
  </si>
  <si>
    <t>Increase to faculty salaries: Steps/promotions for 5 faculty + adding 3.5 OTD faculty + 1 Social Sciences faculty - 1.3 NTT pool</t>
  </si>
  <si>
    <t>Increase to unclass salaries: adding 1 payroll compliance analyst, 1 HR generalist, 1 confidencial advocate, 2.85 New Student Week &amp; Family Programs, 1 Assoc Provost for Faculty Success</t>
  </si>
  <si>
    <t>Increase to unclassified (4% + $250K reserve for salary study), added AD for MSSP, removed Benefits Navigator, and added .5 HRIS analyst</t>
  </si>
  <si>
    <t>Increase to faculty &amp; unclassified pay: adding funds for Willamette Promise liaisons and Destination Western</t>
  </si>
  <si>
    <t>Increase to classified salaries: step increases and 6.5% COLA effective 4/1/24 + 2% eff 11/124 + 3.5% eff 6/1/25</t>
  </si>
  <si>
    <t>Increase to student: additions for New Student Week &amp; Family Program</t>
  </si>
  <si>
    <t>Increase to OPE (from additions in faculty/unclassified/classified)</t>
  </si>
  <si>
    <t>Increase to S&amp;S: additions for New Student Week &amp; Family Program, Natural Sciences S&amp;S for Hood Maintenance, DEI for HSI initiatives, S&amp;S for Dean of Students, campus projects S&amp;S, Banner/Ellucian inflationary costs, Willamette Promise, Canvas/other LMS tools, ATIXA membership and prof dev</t>
  </si>
  <si>
    <t>Increase to Athletics subsidy: adding an assistant director of business operations</t>
  </si>
  <si>
    <t>Increase to Tuition/Fees due to higher enrollment (1.2% UG increase + 19.9% GR increase)</t>
  </si>
  <si>
    <t>Increase to state funding due to $1B instead of $947.7M</t>
  </si>
  <si>
    <t>Increase to faculty rate for CSD/BUS NTT (22% marketplace adjustment)</t>
  </si>
  <si>
    <t>Increase to classified (held in reserve, bargaining underway)</t>
  </si>
  <si>
    <t>Net Change in Net Tuition: Assumes 3% UG and GR enrollment declines + 3% increase in UG Res &amp; WUE rates + $121K decrease in oncline course fee revenue</t>
  </si>
  <si>
    <t>Increase in State Funding (year 2)</t>
  </si>
  <si>
    <t>Increase in course fees (offset by correlating increase to S&amp;S)</t>
  </si>
  <si>
    <t>Decrease in faculty &amp; unclassified pay</t>
  </si>
  <si>
    <t>Decrease in student pay</t>
  </si>
  <si>
    <t>Decrease in OPE (based on above changes in faculty/unclass/class)</t>
  </si>
  <si>
    <t>$1M Centralized Salary Savings + OPE incorporated</t>
  </si>
  <si>
    <t>Increase to S&amp;S related to increase in indirects</t>
  </si>
  <si>
    <t>Increase to S&amp;S related to increase in course fees</t>
  </si>
  <si>
    <t>Decrease in faculty salaries (steps + 13 promotions according to CBA) - net 6.74 T/TT (-1 Exercise Science - 2 Creative Arts -1 Mathematics - 1 Humanities - 1 Social Science - 0.5 Provost - 1 Education - 1 Computer Science - 1.24 gradual retirement + 2 OTD + 1 Behavioral Sciences) - 21.48 NTT pool</t>
  </si>
  <si>
    <t>Increase in unclassified salaries (4.5% COLA effective 1/1/23 which wasn't in FY23 Adjusted Budget) + reducing 9 FTE (Student Success Advisor, Clinical Placement Coordinator in COE, Fundraiser, Financial Aid counselor, international office, general counsel, institutional research analyst, VPFA exec asst, writing center specialist) + 1 Assoc Director HSI + 1 Asst Dean in COE + .51/3 months Creative Arts Event Manager + 1 Alumni + 0.75 Academic innovation + OTD coordinator + 0.5 UCS project manager</t>
  </si>
  <si>
    <t>Decrease in classified salaries (+ class steps - 8 FTE (graphic designer, financial aid office specialist, admissions slate analysis, addmissions office specialist, IT accounting tech, copy cneter office specialist, alumni project coordinator, day custodian) + 4 FTE (study abroad/Salem Admin asst, OT APA, Webmaster, Computer Science Lap Prepator)</t>
  </si>
  <si>
    <t>Increase in internal sales (+ 150K for capital reimbursement - 45K for day custodian reimbursement)</t>
  </si>
  <si>
    <t>Decrease in S&amp;S (contributions from Divisions for $5M target reduction)</t>
  </si>
  <si>
    <t>Increase related to fee remissions</t>
  </si>
  <si>
    <t>Increase in state appropriation (true-up)</t>
  </si>
  <si>
    <t>Increase in investment</t>
  </si>
  <si>
    <t xml:space="preserve">Increase in centralized salary savings </t>
  </si>
  <si>
    <t>Increase in Athletics subsidy</t>
  </si>
  <si>
    <t>FY25 Adjusted Budget Recurring Deficit</t>
  </si>
  <si>
    <t>Decrease related to actual OTD enrollment (17 instead of budgeted 20)</t>
  </si>
  <si>
    <t>Decrease related to actual UG/GR enrollment (budgeted 2% UG and GR decline, actuals 3% UG declines and GR slightly up)</t>
  </si>
  <si>
    <t>Increase in gift grants contracts (based on prior year actuals)</t>
  </si>
  <si>
    <t>Increase in investment (based on prior year actuals)</t>
  </si>
  <si>
    <t>Increase in faculty salaries (~4.09% COLA + reducing 3.5 FTE)</t>
  </si>
  <si>
    <t>Increase in unclassified salaries (~4.09% reserve held centrally for salary study/raises of $580K offset by removing $185K of central funds held for salary equity study and reducing 2.6 FTE in Academic Affairs)</t>
  </si>
  <si>
    <t>Decrease in classified salaries (decrease of 0.5 FTE)</t>
  </si>
  <si>
    <t>Increase in student pay (Destination Western)</t>
  </si>
  <si>
    <t>Increase in OPE (from changes above and increasing health from 17,004 to 19,200)</t>
  </si>
  <si>
    <t>Increase in S&amp;S ($35K library + 40K Destination Western + 130K correlating indirect + 92K PURMIT)</t>
  </si>
  <si>
    <t>Decrease in other transfers (adding transfer in for parking support of public safety)</t>
  </si>
  <si>
    <t>Increase in Internal Sales ($200K GAO - 60K parking)</t>
  </si>
  <si>
    <t>FY26 Prelim Budget Recurring Deficit</t>
  </si>
  <si>
    <t>Increase in fee remissions</t>
  </si>
  <si>
    <t>Increase to other transfers</t>
  </si>
  <si>
    <t>Decrease in centralized salary &amp; OPE savings</t>
  </si>
  <si>
    <t>Decrease to classified pay</t>
  </si>
  <si>
    <t>Increase in tuition related to OTD (18 new students second cohort + ~5% increase)</t>
  </si>
  <si>
    <t>Net Change in Net Tuition/fees -- 0.4% enrollment decline + ~5% tuition increase</t>
  </si>
  <si>
    <t>Increase to state funding (PUSF increase to $1.08B)</t>
  </si>
  <si>
    <t>Increase to faculty salaries: ~6.06% increase - 8.5 T/TT FTE ( -11.5 vacant + 1 Org leadership + 2 OTD (from unclass))</t>
  </si>
  <si>
    <t>Decrease to unclass salaries: 3% COLA reserve - 7.75 FTE decrease (-6 shifting to class - 2 shifting to faculty -1 shifting to housing + 1 shifting from class + 1 Honors Director + 1 Provost EA + 1 VPFA EA - 1 Dean of Grad - 1 CPC Director - .25 Advancement reorg - 0.5 UCS)</t>
  </si>
  <si>
    <t>Decrease to faculty &amp; unclassified pay: eliminating budget for individualized course payments</t>
  </si>
  <si>
    <t>Increase to classified salaries: step increases and 2% effective 11/1/24 + 3% eff 11/1/25 + 3.5% effective 6/1/25 and decrease of 6.25 FTE (5.75 from unclass - 1 to unclass - 9 to housing - 1 WOU:Salem/org leadership - 0.5 international - 0.5 UCS)</t>
  </si>
  <si>
    <t>Decrease to student pay: reducing graduate student pay from 27 to 9 students</t>
  </si>
  <si>
    <t>Increase to OPE (from changes above + 3% increase to retirement + 12.5% increase to health)</t>
  </si>
  <si>
    <t>Decrease to S&amp;S ($165K of Senior Leadership reductions + 40K DEI to HIS + 10K Dean of Students + 100K campus projects + 7K ATIXA + 25K Willamette Promise + 150K Canvas/LMS - 111K water utility - 13K admissions chatbot - 30K faculty prof development - 77K misc)</t>
  </si>
  <si>
    <t>Decrease to internal sales (shifting housing custodians to be paid directly instead of via internal sales)</t>
  </si>
  <si>
    <t>Moving SELP to debt service</t>
  </si>
  <si>
    <t>Decrease in gift grants and contracts (indirects)</t>
  </si>
  <si>
    <t>Increase in other revenue</t>
  </si>
  <si>
    <t>Decrease in transfer out relate to SELP</t>
  </si>
  <si>
    <t>FY26 Adjusted Budget Recurring Deficit</t>
  </si>
  <si>
    <t>Decrease related to actual UG/GR enrollment (budgeted 0.4% UG and GR decline, actuals 2.8% UG and 7.3% GR declines)</t>
  </si>
  <si>
    <t>Decrease in state appropriation (true-up)</t>
  </si>
  <si>
    <t>Decrease in OPE (based on adjustments above)</t>
  </si>
  <si>
    <t xml:space="preserve">Decrease in faculty salaries (eliminating 4 vacant T/TT + 5 vacant instructional - 425K central faculty savings) </t>
  </si>
  <si>
    <t>Decrease in unclassified salaries (1 vacant student affairs + 1 vacant President's office + 235K increasing central salary savings)</t>
  </si>
  <si>
    <t>Decrease in classified salaries (1 vacant HR + $235K increasing central salary savings)</t>
  </si>
  <si>
    <t>Decrease in S&amp;S related to SELP</t>
  </si>
  <si>
    <t>Decrease in S&amp;S (750K incirects from changing policy + 140K President's strategic initiatves + 300K operating reserve)</t>
  </si>
  <si>
    <t>Western Oregon University</t>
  </si>
  <si>
    <t>Education &amp; General Fund</t>
  </si>
  <si>
    <t>Historical Actuals (Budget based on Adjusted)</t>
  </si>
  <si>
    <t>FY23</t>
  </si>
  <si>
    <t>FY24</t>
  </si>
  <si>
    <t>FY25</t>
  </si>
  <si>
    <t>Budget</t>
  </si>
  <si>
    <t>Actuals</t>
  </si>
  <si>
    <t>Difference</t>
  </si>
  <si>
    <t>Tuition</t>
  </si>
  <si>
    <t>Remissions</t>
  </si>
  <si>
    <t>State</t>
  </si>
  <si>
    <t>Gift Grants</t>
  </si>
  <si>
    <t>Investment</t>
  </si>
  <si>
    <t>Other Rev</t>
  </si>
  <si>
    <t>Total Revenues</t>
  </si>
  <si>
    <t>S&amp;S</t>
  </si>
  <si>
    <t>Internal Sales</t>
  </si>
  <si>
    <t>Transfers</t>
  </si>
  <si>
    <t>Total Expenses &amp; Transfers</t>
  </si>
  <si>
    <t>Net</t>
  </si>
  <si>
    <t>Beginning Fund Balance</t>
  </si>
  <si>
    <t>Additions/(Deductions)</t>
  </si>
  <si>
    <t>Ending Fund Balance</t>
  </si>
  <si>
    <t>Fund Balance as a % of Revenues</t>
  </si>
  <si>
    <t>Explanation of Variance</t>
  </si>
  <si>
    <t>Personnel</t>
  </si>
  <si>
    <t>Fee remissions came in under budget</t>
  </si>
  <si>
    <t>True-up came in better than anticipated</t>
  </si>
  <si>
    <t>Increased grant activity</t>
  </si>
  <si>
    <t>Campus efforts to save - soft hiring freeze</t>
  </si>
  <si>
    <t>Campus efforts to save - minimizing travel and reducing departmental S&amp;S by 10%</t>
  </si>
  <si>
    <t>$823K related to athletic overage + $660K for Student Success Center match</t>
  </si>
  <si>
    <t>Online course fees came in $340K more than budget</t>
  </si>
  <si>
    <t>Increase interest income</t>
  </si>
  <si>
    <t>Campus efforts to save</t>
  </si>
  <si>
    <t>$500K unspent sustainability funds + $158K unspent OTD start-up + $612K SBITA</t>
  </si>
  <si>
    <t>Graduate tuition had better than expected attirtion</t>
  </si>
  <si>
    <t>Fee remissions came in over budget</t>
  </si>
  <si>
    <t>True-up</t>
  </si>
  <si>
    <t>Decreased grant activity</t>
  </si>
  <si>
    <t>$380K related to Sustainability + $332K related to additions President did not release to be spent + $260K savings in OT utilizing other sources for start-up + $215K related to course fees + $516K related to indirects + $775K reclass of SBITA</t>
  </si>
  <si>
    <t>$942K athletics overage + $775K SBITA reclassification</t>
  </si>
  <si>
    <t>$1.766M athletics overage + $612K SBITA reclassification</t>
  </si>
  <si>
    <t>Moving compensated absence liabiity out of E&amp;G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</si>
</sst>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u val="singleAccounting"/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3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5" fillId="0" borderId="0"/>
    <xf numFmtId="0" fontId="1" fillId="0" borderId="0"/>
    <xf numFmtId="0" fontId="3" fillId="0" borderId="0"/>
    <xf numFmtId="0" fontId="3" fillId="0" borderId="0"/>
    <xf numFmtId="9" fontId="1" fillId="0" borderId="0" applyFont="0" applyFill="0" applyBorder="0" applyAlignment="0" applyProtection="0"/>
  </cellStyleXfs>
  <cellXfs count="20">
    <xf numFmtId="0" fontId="0" fillId="0" borderId="0" xfId="0"/>
    <xf numFmtId="164" fontId="1" fillId="0" borderId="0" xfId="1" applyNumberFormat="1" applyFont="1"/>
    <xf numFmtId="164" fontId="4" fillId="0" borderId="0" xfId="1" applyNumberFormat="1" applyFont="1"/>
    <xf numFmtId="164" fontId="0" fillId="0" borderId="0" xfId="1" applyNumberFormat="1" applyFont="1"/>
    <xf numFmtId="0" fontId="1" fillId="0" borderId="0" xfId="2" applyFont="1" applyAlignment="1">
      <alignment wrapText="1"/>
    </xf>
    <xf numFmtId="0" fontId="6" fillId="0" borderId="0" xfId="0" applyFont="1"/>
    <xf numFmtId="164" fontId="6" fillId="0" borderId="0" xfId="1" applyNumberFormat="1" applyFont="1"/>
    <xf numFmtId="0" fontId="6" fillId="0" borderId="0" xfId="0" applyFont="1" applyAlignment="1">
      <alignment wrapText="1"/>
    </xf>
    <xf numFmtId="0" fontId="6" fillId="0" borderId="0" xfId="2" applyFont="1" applyAlignment="1">
      <alignment wrapText="1"/>
    </xf>
    <xf numFmtId="0" fontId="0" fillId="0" borderId="0" xfId="0" applyAlignment="1">
      <alignment wrapText="1"/>
    </xf>
    <xf numFmtId="164" fontId="6" fillId="0" borderId="0" xfId="1" applyNumberFormat="1" applyFont="1" applyAlignment="1">
      <alignment horizontal="center"/>
    </xf>
    <xf numFmtId="164" fontId="0" fillId="0" borderId="0" xfId="0" applyNumberFormat="1"/>
    <xf numFmtId="164" fontId="0" fillId="0" borderId="0" xfId="1" applyNumberFormat="1" applyFont="1" applyFill="1"/>
    <xf numFmtId="164" fontId="7" fillId="0" borderId="0" xfId="1" applyNumberFormat="1" applyFont="1"/>
    <xf numFmtId="164" fontId="4" fillId="0" borderId="0" xfId="0" applyNumberFormat="1" applyFont="1"/>
    <xf numFmtId="164" fontId="7" fillId="0" borderId="0" xfId="1" applyNumberFormat="1" applyFont="1" applyFill="1"/>
    <xf numFmtId="164" fontId="6" fillId="0" borderId="0" xfId="0" applyNumberFormat="1" applyFont="1"/>
    <xf numFmtId="164" fontId="6" fillId="0" borderId="0" xfId="1" applyNumberFormat="1" applyFont="1" applyFill="1"/>
    <xf numFmtId="164" fontId="1" fillId="0" borderId="0" xfId="1" applyNumberFormat="1" applyFont="1" applyFill="1"/>
    <xf numFmtId="10" fontId="0" fillId="0" borderId="0" xfId="12" applyNumberFormat="1" applyFont="1"/>
  </cellXfs>
  <cellStyles count="13">
    <cellStyle name="Comma" xfId="1" builtinId="3"/>
    <cellStyle name="Comma 2" xfId="6" xr:uid="{427BB9AF-AB3D-41E6-9F0F-1D4C15EBE3A8}"/>
    <cellStyle name="Comma 3" xfId="3" xr:uid="{27F725FD-653D-43C2-BC68-BA526059DBFA}"/>
    <cellStyle name="Normal" xfId="0" builtinId="0"/>
    <cellStyle name="Normal 2" xfId="5" xr:uid="{148D8B7B-5DC8-43EA-A17C-C3DA99A38650}"/>
    <cellStyle name="Normal 2 2" xfId="10" xr:uid="{DFD4D5BC-77AE-4B35-A656-0FC20B92E30D}"/>
    <cellStyle name="Normal 3" xfId="8" xr:uid="{7F9794EB-5876-435E-97F5-B8064B7CF928}"/>
    <cellStyle name="Normal 3 2" xfId="11" xr:uid="{57CB2F0A-0C49-4049-8150-EF4359CB299F}"/>
    <cellStyle name="Normal 4" xfId="9" xr:uid="{DD8670E4-8328-407C-AE32-DCBB137DD179}"/>
    <cellStyle name="Normal 5" xfId="2" xr:uid="{83BDD528-D11D-4736-A722-CD95F38D98D7}"/>
    <cellStyle name="Percent" xfId="12" builtinId="5"/>
    <cellStyle name="Percent 2" xfId="7" xr:uid="{04533572-38E0-43F1-B526-29EA216A9F69}"/>
    <cellStyle name="Percent 3" xfId="4" xr:uid="{AA21C514-375D-45AF-84F9-5D6C9631B5D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Camarie Moreno" id="{E632B32E-4555-4240-BAC9-578320747882}" userId="S::morenoc@mash.wou.edu::81b765c6-9b56-4afd-a346-c4dacc85df12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D67" dT="2024-09-23T22:37:08.35" personId="{E632B32E-4555-4240-BAC9-578320747882}" id="{27DFE820-1643-43EC-837E-2CE140234B4A}">
    <text>S/B 13,590,137.30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F82136-4223-4936-B6E7-E70205B40B58}">
  <dimension ref="A1:B105"/>
  <sheetViews>
    <sheetView zoomScaleNormal="100" workbookViewId="0">
      <selection activeCell="B86" sqref="B86"/>
    </sheetView>
  </sheetViews>
  <sheetFormatPr baseColWidth="10" defaultColWidth="8.83203125" defaultRowHeight="15" x14ac:dyDescent="0.2"/>
  <cols>
    <col min="1" max="1" width="81" style="9" bestFit="1" customWidth="1"/>
    <col min="2" max="2" width="14.5" style="3" bestFit="1" customWidth="1"/>
  </cols>
  <sheetData>
    <row r="1" spans="1:2" ht="16" x14ac:dyDescent="0.2">
      <c r="A1" s="7" t="s">
        <v>9</v>
      </c>
    </row>
    <row r="3" spans="1:2" s="5" customFormat="1" ht="16" x14ac:dyDescent="0.2">
      <c r="A3" s="8" t="s">
        <v>1</v>
      </c>
      <c r="B3" s="6">
        <v>-7743991.5342485011</v>
      </c>
    </row>
    <row r="4" spans="1:2" x14ac:dyDescent="0.2">
      <c r="A4" s="4"/>
      <c r="B4" s="1"/>
    </row>
    <row r="5" spans="1:2" ht="32" x14ac:dyDescent="0.2">
      <c r="A5" s="4" t="s">
        <v>28</v>
      </c>
      <c r="B5" s="1">
        <v>-257623</v>
      </c>
    </row>
    <row r="6" spans="1:2" ht="16" x14ac:dyDescent="0.2">
      <c r="A6" s="4" t="s">
        <v>30</v>
      </c>
      <c r="B6" s="1">
        <v>100000</v>
      </c>
    </row>
    <row r="7" spans="1:2" ht="16" x14ac:dyDescent="0.2">
      <c r="A7" s="4" t="s">
        <v>29</v>
      </c>
      <c r="B7" s="1">
        <v>797435</v>
      </c>
    </row>
    <row r="8" spans="1:2" ht="16" x14ac:dyDescent="0.2">
      <c r="A8" s="4" t="s">
        <v>8</v>
      </c>
      <c r="B8" s="1">
        <v>500000</v>
      </c>
    </row>
    <row r="9" spans="1:2" ht="48" x14ac:dyDescent="0.2">
      <c r="A9" s="4" t="s">
        <v>37</v>
      </c>
      <c r="B9" s="1">
        <v>1451505</v>
      </c>
    </row>
    <row r="10" spans="1:2" ht="80" x14ac:dyDescent="0.2">
      <c r="A10" s="4" t="s">
        <v>38</v>
      </c>
      <c r="B10" s="1">
        <v>-321633</v>
      </c>
    </row>
    <row r="11" spans="1:2" ht="16" x14ac:dyDescent="0.2">
      <c r="A11" s="4" t="s">
        <v>31</v>
      </c>
      <c r="B11" s="3">
        <v>28899</v>
      </c>
    </row>
    <row r="12" spans="1:2" ht="64" x14ac:dyDescent="0.2">
      <c r="A12" s="4" t="s">
        <v>39</v>
      </c>
      <c r="B12" s="1">
        <f>116925</f>
        <v>116925</v>
      </c>
    </row>
    <row r="13" spans="1:2" ht="16" x14ac:dyDescent="0.2">
      <c r="A13" s="4" t="s">
        <v>32</v>
      </c>
      <c r="B13" s="1">
        <v>245810</v>
      </c>
    </row>
    <row r="14" spans="1:2" ht="16" x14ac:dyDescent="0.2">
      <c r="A14" s="4" t="s">
        <v>33</v>
      </c>
      <c r="B14" s="1">
        <v>833908</v>
      </c>
    </row>
    <row r="15" spans="1:2" ht="16" x14ac:dyDescent="0.2">
      <c r="A15" s="4" t="s">
        <v>34</v>
      </c>
      <c r="B15" s="1">
        <v>1356500</v>
      </c>
    </row>
    <row r="16" spans="1:2" ht="16" x14ac:dyDescent="0.2">
      <c r="A16" s="4" t="s">
        <v>41</v>
      </c>
      <c r="B16" s="1">
        <f>275008+162500+100000</f>
        <v>537508</v>
      </c>
    </row>
    <row r="17" spans="1:2" ht="16" x14ac:dyDescent="0.2">
      <c r="A17" s="4" t="s">
        <v>35</v>
      </c>
      <c r="B17" s="1">
        <f>-500000*0.325</f>
        <v>-162500</v>
      </c>
    </row>
    <row r="18" spans="1:2" ht="16" x14ac:dyDescent="0.2">
      <c r="A18" s="4" t="s">
        <v>36</v>
      </c>
      <c r="B18" s="1">
        <v>-100000</v>
      </c>
    </row>
    <row r="19" spans="1:2" ht="16" x14ac:dyDescent="0.2">
      <c r="A19" s="4" t="s">
        <v>40</v>
      </c>
      <c r="B19" s="1">
        <v>105161</v>
      </c>
    </row>
    <row r="20" spans="1:2" ht="19" x14ac:dyDescent="0.35">
      <c r="A20" s="4" t="s">
        <v>0</v>
      </c>
      <c r="B20" s="2">
        <v>-712247</v>
      </c>
    </row>
    <row r="21" spans="1:2" ht="18" x14ac:dyDescent="0.35">
      <c r="A21" s="4"/>
      <c r="B21" s="2"/>
    </row>
    <row r="22" spans="1:2" s="5" customFormat="1" ht="16" x14ac:dyDescent="0.2">
      <c r="A22" s="8" t="s">
        <v>2</v>
      </c>
      <c r="B22" s="6">
        <f>SUM(B3:B20)</f>
        <v>-3224343.5342485011</v>
      </c>
    </row>
    <row r="23" spans="1:2" x14ac:dyDescent="0.2">
      <c r="A23" s="4"/>
      <c r="B23" s="1"/>
    </row>
    <row r="24" spans="1:2" ht="16" x14ac:dyDescent="0.2">
      <c r="A24" s="4" t="s">
        <v>24</v>
      </c>
      <c r="B24" s="1">
        <v>1289816</v>
      </c>
    </row>
    <row r="25" spans="1:2" ht="16" x14ac:dyDescent="0.2">
      <c r="A25" s="4" t="s">
        <v>25</v>
      </c>
      <c r="B25" s="1">
        <v>1073325</v>
      </c>
    </row>
    <row r="26" spans="1:2" ht="16" x14ac:dyDescent="0.2">
      <c r="A26" s="4" t="s">
        <v>8</v>
      </c>
      <c r="B26" s="1">
        <v>514070</v>
      </c>
    </row>
    <row r="27" spans="1:2" ht="16" x14ac:dyDescent="0.2">
      <c r="A27" s="4" t="s">
        <v>26</v>
      </c>
      <c r="B27" s="1">
        <v>-117286</v>
      </c>
    </row>
    <row r="28" spans="1:2" ht="32" x14ac:dyDescent="0.2">
      <c r="A28" s="4" t="s">
        <v>17</v>
      </c>
      <c r="B28" s="1">
        <v>-564944</v>
      </c>
    </row>
    <row r="29" spans="1:2" ht="16" x14ac:dyDescent="0.2">
      <c r="A29" s="4" t="s">
        <v>27</v>
      </c>
      <c r="B29" s="1">
        <v>-215000</v>
      </c>
    </row>
    <row r="30" spans="1:2" ht="16" x14ac:dyDescent="0.2">
      <c r="A30" s="4" t="s">
        <v>3</v>
      </c>
      <c r="B30" s="1">
        <f>-345034+13000*0.3565+195</f>
        <v>-340204.5</v>
      </c>
    </row>
    <row r="31" spans="1:2" ht="16" x14ac:dyDescent="0.2">
      <c r="A31" s="9" t="s">
        <v>4</v>
      </c>
      <c r="B31" s="3">
        <f>-162500</f>
        <v>-162500</v>
      </c>
    </row>
    <row r="32" spans="1:2" ht="16" x14ac:dyDescent="0.2">
      <c r="A32" s="9" t="s">
        <v>5</v>
      </c>
      <c r="B32" s="3">
        <v>-328240</v>
      </c>
    </row>
    <row r="33" spans="1:2" ht="16" x14ac:dyDescent="0.2">
      <c r="A33" s="9" t="s">
        <v>6</v>
      </c>
      <c r="B33" s="3">
        <v>35000</v>
      </c>
    </row>
    <row r="34" spans="1:2" ht="19" x14ac:dyDescent="0.35">
      <c r="A34" s="9" t="s">
        <v>7</v>
      </c>
      <c r="B34" s="2">
        <v>-1000000</v>
      </c>
    </row>
    <row r="35" spans="1:2" ht="18" x14ac:dyDescent="0.35">
      <c r="B35" s="2"/>
    </row>
    <row r="36" spans="1:2" s="5" customFormat="1" ht="16" x14ac:dyDescent="0.2">
      <c r="A36" s="7" t="s">
        <v>10</v>
      </c>
      <c r="B36" s="6">
        <f>SUM(B22:B34)</f>
        <v>-3040307.0342485011</v>
      </c>
    </row>
    <row r="38" spans="1:2" ht="16" x14ac:dyDescent="0.2">
      <c r="A38" s="4" t="s">
        <v>12</v>
      </c>
      <c r="B38" s="3">
        <v>795811</v>
      </c>
    </row>
    <row r="39" spans="1:2" ht="16" x14ac:dyDescent="0.2">
      <c r="A39" s="4" t="s">
        <v>13</v>
      </c>
      <c r="B39" s="3">
        <v>523500</v>
      </c>
    </row>
    <row r="40" spans="1:2" ht="16" x14ac:dyDescent="0.2">
      <c r="A40" s="4" t="s">
        <v>14</v>
      </c>
      <c r="B40" s="3">
        <v>993624</v>
      </c>
    </row>
    <row r="41" spans="1:2" ht="32" x14ac:dyDescent="0.2">
      <c r="A41" s="4" t="s">
        <v>15</v>
      </c>
      <c r="B41" s="3">
        <v>-553929</v>
      </c>
    </row>
    <row r="42" spans="1:2" ht="32" x14ac:dyDescent="0.2">
      <c r="A42" s="4" t="s">
        <v>16</v>
      </c>
      <c r="B42" s="3">
        <v>-922154</v>
      </c>
    </row>
    <row r="43" spans="1:2" ht="32" x14ac:dyDescent="0.2">
      <c r="A43" s="4" t="s">
        <v>18</v>
      </c>
      <c r="B43" s="3">
        <v>-49155</v>
      </c>
    </row>
    <row r="44" spans="1:2" ht="32" x14ac:dyDescent="0.2">
      <c r="A44" s="4" t="s">
        <v>19</v>
      </c>
      <c r="B44" s="3">
        <v>-410508</v>
      </c>
    </row>
    <row r="45" spans="1:2" ht="16" x14ac:dyDescent="0.2">
      <c r="A45" s="4" t="s">
        <v>20</v>
      </c>
      <c r="B45" s="3">
        <v>-54653</v>
      </c>
    </row>
    <row r="46" spans="1:2" ht="16" x14ac:dyDescent="0.2">
      <c r="A46" s="4" t="s">
        <v>21</v>
      </c>
      <c r="B46" s="3">
        <v>-532053</v>
      </c>
    </row>
    <row r="47" spans="1:2" ht="48" x14ac:dyDescent="0.2">
      <c r="A47" s="4" t="s">
        <v>22</v>
      </c>
      <c r="B47" s="3">
        <v>-542017</v>
      </c>
    </row>
    <row r="48" spans="1:2" ht="19" x14ac:dyDescent="0.35">
      <c r="A48" s="4" t="s">
        <v>23</v>
      </c>
      <c r="B48" s="2">
        <v>-120000</v>
      </c>
    </row>
    <row r="50" spans="1:2" ht="16" x14ac:dyDescent="0.2">
      <c r="A50" s="7" t="s">
        <v>11</v>
      </c>
      <c r="B50" s="6">
        <f>SUM(B36:B48)</f>
        <v>-3911841.0342485011</v>
      </c>
    </row>
    <row r="52" spans="1:2" ht="32" x14ac:dyDescent="0.2">
      <c r="A52" s="4" t="s">
        <v>49</v>
      </c>
      <c r="B52" s="3">
        <f>-678150+152145+240000+2491</f>
        <v>-283514</v>
      </c>
    </row>
    <row r="53" spans="1:2" ht="16" x14ac:dyDescent="0.2">
      <c r="A53" s="4" t="s">
        <v>48</v>
      </c>
      <c r="B53" s="3">
        <v>-104700</v>
      </c>
    </row>
    <row r="54" spans="1:2" ht="16" x14ac:dyDescent="0.2">
      <c r="A54" s="9" t="s">
        <v>42</v>
      </c>
      <c r="B54" s="3">
        <v>500000</v>
      </c>
    </row>
    <row r="55" spans="1:2" ht="16" x14ac:dyDescent="0.2">
      <c r="A55" s="9" t="s">
        <v>43</v>
      </c>
      <c r="B55" s="3">
        <v>131042</v>
      </c>
    </row>
    <row r="56" spans="1:2" ht="16" x14ac:dyDescent="0.2">
      <c r="A56" s="9" t="s">
        <v>50</v>
      </c>
      <c r="B56" s="3">
        <v>405930</v>
      </c>
    </row>
    <row r="57" spans="1:2" ht="16" x14ac:dyDescent="0.2">
      <c r="A57" s="9" t="s">
        <v>51</v>
      </c>
      <c r="B57" s="3">
        <v>300000</v>
      </c>
    </row>
    <row r="58" spans="1:2" ht="16" x14ac:dyDescent="0.2">
      <c r="A58" s="9" t="s">
        <v>52</v>
      </c>
      <c r="B58" s="3">
        <v>-212599</v>
      </c>
    </row>
    <row r="59" spans="1:2" ht="32" x14ac:dyDescent="0.2">
      <c r="A59" s="9" t="s">
        <v>53</v>
      </c>
      <c r="B59" s="3">
        <v>-305225</v>
      </c>
    </row>
    <row r="60" spans="1:2" ht="16" x14ac:dyDescent="0.2">
      <c r="A60" s="9" t="s">
        <v>54</v>
      </c>
      <c r="B60" s="3">
        <v>17434</v>
      </c>
    </row>
    <row r="61" spans="1:2" ht="16" x14ac:dyDescent="0.2">
      <c r="A61" s="9" t="s">
        <v>55</v>
      </c>
      <c r="B61" s="3">
        <v>-3273</v>
      </c>
    </row>
    <row r="62" spans="1:2" ht="16" x14ac:dyDescent="0.2">
      <c r="A62" s="9" t="s">
        <v>56</v>
      </c>
      <c r="B62" s="3">
        <v>-982805</v>
      </c>
    </row>
    <row r="63" spans="1:2" ht="16" x14ac:dyDescent="0.2">
      <c r="A63" s="9" t="s">
        <v>45</v>
      </c>
      <c r="B63" s="3">
        <v>1125895</v>
      </c>
    </row>
    <row r="64" spans="1:2" ht="16" x14ac:dyDescent="0.2">
      <c r="A64" s="9" t="s">
        <v>57</v>
      </c>
      <c r="B64" s="3">
        <v>-297380</v>
      </c>
    </row>
    <row r="65" spans="1:2" ht="16" x14ac:dyDescent="0.2">
      <c r="A65" s="9" t="s">
        <v>59</v>
      </c>
      <c r="B65" s="3">
        <v>139760</v>
      </c>
    </row>
    <row r="66" spans="1:2" ht="16" x14ac:dyDescent="0.2">
      <c r="A66" s="9" t="s">
        <v>46</v>
      </c>
      <c r="B66" s="3">
        <v>-80000</v>
      </c>
    </row>
    <row r="67" spans="1:2" ht="19" x14ac:dyDescent="0.35">
      <c r="A67" s="9" t="s">
        <v>58</v>
      </c>
      <c r="B67" s="2">
        <v>60240</v>
      </c>
    </row>
    <row r="69" spans="1:2" ht="16" x14ac:dyDescent="0.2">
      <c r="A69" s="7" t="s">
        <v>47</v>
      </c>
      <c r="B69" s="6">
        <f>SUM(B50:B67)</f>
        <v>-3501036.0342485011</v>
      </c>
    </row>
    <row r="71" spans="1:2" ht="16" x14ac:dyDescent="0.2">
      <c r="A71" s="4" t="s">
        <v>66</v>
      </c>
      <c r="B71" s="3">
        <f>1124948+195204-33337</f>
        <v>1286815</v>
      </c>
    </row>
    <row r="72" spans="1:2" ht="16" x14ac:dyDescent="0.2">
      <c r="A72" s="4" t="s">
        <v>65</v>
      </c>
      <c r="B72" s="3">
        <v>767800</v>
      </c>
    </row>
    <row r="73" spans="1:2" ht="16" x14ac:dyDescent="0.2">
      <c r="A73" s="4" t="s">
        <v>61</v>
      </c>
      <c r="B73" s="3">
        <v>-200000</v>
      </c>
    </row>
    <row r="74" spans="1:2" ht="16" x14ac:dyDescent="0.2">
      <c r="A74" s="4" t="s">
        <v>67</v>
      </c>
      <c r="B74" s="3">
        <v>1208680</v>
      </c>
    </row>
    <row r="75" spans="1:2" ht="32" x14ac:dyDescent="0.2">
      <c r="A75" s="4" t="s">
        <v>68</v>
      </c>
      <c r="B75" s="3">
        <v>-40129</v>
      </c>
    </row>
    <row r="76" spans="1:2" ht="48" x14ac:dyDescent="0.2">
      <c r="A76" s="4" t="s">
        <v>69</v>
      </c>
      <c r="B76" s="3">
        <v>394868</v>
      </c>
    </row>
    <row r="77" spans="1:2" ht="16" x14ac:dyDescent="0.2">
      <c r="A77" s="4" t="s">
        <v>70</v>
      </c>
      <c r="B77" s="3">
        <v>122155</v>
      </c>
    </row>
    <row r="78" spans="1:2" ht="48" x14ac:dyDescent="0.2">
      <c r="A78" s="4" t="s">
        <v>71</v>
      </c>
      <c r="B78" s="3">
        <v>-341919</v>
      </c>
    </row>
    <row r="79" spans="1:2" ht="16" x14ac:dyDescent="0.2">
      <c r="A79" s="4" t="s">
        <v>64</v>
      </c>
      <c r="B79" s="3">
        <v>2462</v>
      </c>
    </row>
    <row r="80" spans="1:2" ht="16" x14ac:dyDescent="0.2">
      <c r="A80" s="4" t="s">
        <v>72</v>
      </c>
      <c r="B80" s="3">
        <v>182667</v>
      </c>
    </row>
    <row r="81" spans="1:2" ht="16" x14ac:dyDescent="0.2">
      <c r="A81" s="4" t="s">
        <v>73</v>
      </c>
      <c r="B81" s="3">
        <v>-2112636</v>
      </c>
    </row>
    <row r="82" spans="1:2" ht="16" x14ac:dyDescent="0.2">
      <c r="A82" s="4" t="s">
        <v>63</v>
      </c>
      <c r="B82" s="3">
        <v>-541295</v>
      </c>
    </row>
    <row r="83" spans="1:2" ht="48" x14ac:dyDescent="0.2">
      <c r="A83" s="4" t="s">
        <v>74</v>
      </c>
      <c r="B83" s="3">
        <v>265908</v>
      </c>
    </row>
    <row r="84" spans="1:2" ht="16" x14ac:dyDescent="0.2">
      <c r="A84" s="4" t="s">
        <v>75</v>
      </c>
      <c r="B84" s="3">
        <v>-725780</v>
      </c>
    </row>
    <row r="85" spans="1:2" ht="16" x14ac:dyDescent="0.2">
      <c r="A85" s="4" t="s">
        <v>23</v>
      </c>
      <c r="B85" s="3">
        <v>-185895</v>
      </c>
    </row>
    <row r="86" spans="1:2" ht="19" x14ac:dyDescent="0.35">
      <c r="A86" s="4" t="s">
        <v>62</v>
      </c>
      <c r="B86" s="2">
        <v>18327</v>
      </c>
    </row>
    <row r="88" spans="1:2" ht="16" x14ac:dyDescent="0.2">
      <c r="A88" s="7" t="s">
        <v>60</v>
      </c>
      <c r="B88" s="6">
        <f>SUM(B69:B86)</f>
        <v>-3399008.0342485011</v>
      </c>
    </row>
    <row r="90" spans="1:2" ht="32" x14ac:dyDescent="0.2">
      <c r="A90" s="4" t="s">
        <v>81</v>
      </c>
      <c r="B90" s="3">
        <v>-956999</v>
      </c>
    </row>
    <row r="91" spans="1:2" ht="16" x14ac:dyDescent="0.2">
      <c r="A91" s="4" t="s">
        <v>61</v>
      </c>
      <c r="B91" s="3">
        <v>-700000</v>
      </c>
    </row>
    <row r="92" spans="1:2" ht="16" x14ac:dyDescent="0.2">
      <c r="A92" s="9" t="s">
        <v>82</v>
      </c>
      <c r="B92" s="3">
        <f>-778814-5447</f>
        <v>-784261</v>
      </c>
    </row>
    <row r="93" spans="1:2" ht="16" x14ac:dyDescent="0.2">
      <c r="A93" s="9" t="s">
        <v>76</v>
      </c>
      <c r="B93" s="3">
        <v>-379248</v>
      </c>
    </row>
    <row r="94" spans="1:2" ht="16" x14ac:dyDescent="0.2">
      <c r="A94" s="9" t="s">
        <v>77</v>
      </c>
      <c r="B94" s="3">
        <v>-700000</v>
      </c>
    </row>
    <row r="95" spans="1:2" ht="16" x14ac:dyDescent="0.2">
      <c r="A95" s="9" t="s">
        <v>44</v>
      </c>
      <c r="B95" s="3">
        <v>200000</v>
      </c>
    </row>
    <row r="96" spans="1:2" ht="16" x14ac:dyDescent="0.2">
      <c r="A96" s="9" t="s">
        <v>78</v>
      </c>
      <c r="B96" s="3">
        <v>150000</v>
      </c>
    </row>
    <row r="97" spans="1:2" ht="32" x14ac:dyDescent="0.2">
      <c r="A97" s="9" t="s">
        <v>84</v>
      </c>
      <c r="B97" s="3">
        <v>240348</v>
      </c>
    </row>
    <row r="98" spans="1:2" ht="32" x14ac:dyDescent="0.2">
      <c r="A98" s="9" t="s">
        <v>85</v>
      </c>
      <c r="B98" s="3">
        <v>351289</v>
      </c>
    </row>
    <row r="99" spans="1:2" ht="16" x14ac:dyDescent="0.2">
      <c r="A99" s="9" t="s">
        <v>86</v>
      </c>
      <c r="B99" s="3">
        <v>264771</v>
      </c>
    </row>
    <row r="100" spans="1:2" ht="16" x14ac:dyDescent="0.2">
      <c r="A100" s="9" t="s">
        <v>83</v>
      </c>
      <c r="B100" s="3">
        <v>590202</v>
      </c>
    </row>
    <row r="101" spans="1:2" ht="32" x14ac:dyDescent="0.2">
      <c r="A101" s="9" t="s">
        <v>88</v>
      </c>
      <c r="B101" s="3">
        <f>1305000-115000</f>
        <v>1190000</v>
      </c>
    </row>
    <row r="102" spans="1:2" ht="16" x14ac:dyDescent="0.2">
      <c r="A102" s="9" t="s">
        <v>87</v>
      </c>
      <c r="B102" s="3">
        <v>115000</v>
      </c>
    </row>
    <row r="103" spans="1:2" ht="19" x14ac:dyDescent="0.35">
      <c r="A103" s="9" t="s">
        <v>79</v>
      </c>
      <c r="B103" s="2">
        <v>264248</v>
      </c>
    </row>
    <row r="105" spans="1:2" ht="16" x14ac:dyDescent="0.2">
      <c r="A105" s="7" t="s">
        <v>80</v>
      </c>
      <c r="B105" s="6">
        <f>SUM(B88:B103)</f>
        <v>-3553658.0342485011</v>
      </c>
    </row>
  </sheetData>
  <pageMargins left="0.7" right="0.7" top="0.75" bottom="0.75" header="0.3" footer="0.3"/>
  <pageSetup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FD087F-8A26-4E8C-BA43-C0A270A30069}">
  <dimension ref="A1:J68"/>
  <sheetViews>
    <sheetView tabSelected="1" zoomScale="102" workbookViewId="0">
      <pane xSplit="2" ySplit="4" topLeftCell="C51" activePane="bottomRight" state="frozen"/>
      <selection pane="topRight" activeCell="C1" sqref="C1"/>
      <selection pane="bottomLeft" activeCell="A5" sqref="A5"/>
      <selection pane="bottomRight" activeCell="K59" sqref="K59"/>
    </sheetView>
  </sheetViews>
  <sheetFormatPr baseColWidth="10" defaultColWidth="8.83203125" defaultRowHeight="15" x14ac:dyDescent="0.2"/>
  <cols>
    <col min="1" max="1" width="27.83203125" bestFit="1" customWidth="1"/>
    <col min="2" max="2" width="2.83203125" customWidth="1"/>
    <col min="3" max="4" width="12.1640625" bestFit="1" customWidth="1"/>
    <col min="5" max="5" width="11.83203125" bestFit="1" customWidth="1"/>
    <col min="6" max="6" width="2.83203125" customWidth="1"/>
    <col min="7" max="7" width="43.83203125" style="9" customWidth="1"/>
    <col min="8" max="8" width="2.83203125" customWidth="1"/>
    <col min="9" max="9" width="11.1640625" customWidth="1"/>
    <col min="10" max="10" width="14.1640625" style="3" bestFit="1" customWidth="1"/>
    <col min="11" max="11" width="10.83203125" bestFit="1" customWidth="1"/>
    <col min="12" max="12" width="2.83203125" customWidth="1"/>
  </cols>
  <sheetData>
    <row r="1" spans="1:7" x14ac:dyDescent="0.2">
      <c r="A1" s="5" t="s">
        <v>89</v>
      </c>
    </row>
    <row r="2" spans="1:7" x14ac:dyDescent="0.2">
      <c r="A2" t="s">
        <v>90</v>
      </c>
    </row>
    <row r="3" spans="1:7" x14ac:dyDescent="0.2">
      <c r="A3" t="s">
        <v>91</v>
      </c>
    </row>
    <row r="4" spans="1:7" ht="16" x14ac:dyDescent="0.2">
      <c r="C4" s="10" t="s">
        <v>95</v>
      </c>
      <c r="D4" s="10" t="s">
        <v>96</v>
      </c>
      <c r="E4" s="10" t="s">
        <v>97</v>
      </c>
      <c r="G4" s="7" t="s">
        <v>114</v>
      </c>
    </row>
    <row r="5" spans="1:7" x14ac:dyDescent="0.2">
      <c r="A5" s="5" t="s">
        <v>92</v>
      </c>
      <c r="F5" s="10"/>
    </row>
    <row r="6" spans="1:7" x14ac:dyDescent="0.2">
      <c r="A6" s="3" t="s">
        <v>98</v>
      </c>
      <c r="B6" s="3"/>
      <c r="C6" s="12">
        <f>31678012+550000+3394924</f>
        <v>35622936</v>
      </c>
      <c r="D6" s="12">
        <v>35959039.350000001</v>
      </c>
      <c r="E6" s="11">
        <f t="shared" ref="E6:E12" si="0">D6-C6</f>
        <v>336103.35000000149</v>
      </c>
      <c r="F6" s="12"/>
    </row>
    <row r="7" spans="1:7" ht="16" x14ac:dyDescent="0.2">
      <c r="A7" s="3" t="s">
        <v>99</v>
      </c>
      <c r="B7" s="3"/>
      <c r="C7" s="12">
        <v>-5500000</v>
      </c>
      <c r="D7" s="12">
        <v>-5061028</v>
      </c>
      <c r="E7" s="11">
        <f t="shared" si="0"/>
        <v>438972</v>
      </c>
      <c r="F7" s="12"/>
      <c r="G7" s="9" t="s">
        <v>116</v>
      </c>
    </row>
    <row r="8" spans="1:7" ht="16" x14ac:dyDescent="0.2">
      <c r="A8" s="3" t="s">
        <v>100</v>
      </c>
      <c r="B8" s="3"/>
      <c r="C8" s="12">
        <v>31965913</v>
      </c>
      <c r="D8" s="12">
        <v>32393641</v>
      </c>
      <c r="E8" s="11">
        <f t="shared" si="0"/>
        <v>427728</v>
      </c>
      <c r="F8" s="12"/>
      <c r="G8" s="9" t="s">
        <v>117</v>
      </c>
    </row>
    <row r="9" spans="1:7" ht="16" x14ac:dyDescent="0.2">
      <c r="A9" s="3" t="s">
        <v>101</v>
      </c>
      <c r="B9" s="3"/>
      <c r="C9" s="12">
        <v>1479487</v>
      </c>
      <c r="D9" s="12">
        <f>2673997.26+299487</f>
        <v>2973484.26</v>
      </c>
      <c r="E9" s="11">
        <f t="shared" si="0"/>
        <v>1493997.2599999998</v>
      </c>
      <c r="F9" s="12"/>
      <c r="G9" s="9" t="s">
        <v>118</v>
      </c>
    </row>
    <row r="10" spans="1:7" x14ac:dyDescent="0.2">
      <c r="A10" s="3" t="s">
        <v>102</v>
      </c>
      <c r="B10" s="3"/>
      <c r="C10" s="12">
        <v>2000000</v>
      </c>
      <c r="D10" s="12">
        <v>2164542.15</v>
      </c>
      <c r="E10" s="11">
        <f t="shared" si="0"/>
        <v>164542.14999999991</v>
      </c>
      <c r="F10" s="12"/>
    </row>
    <row r="11" spans="1:7" ht="18" x14ac:dyDescent="0.35">
      <c r="A11" s="3" t="s">
        <v>103</v>
      </c>
      <c r="B11" s="3"/>
      <c r="C11" s="15">
        <v>600000</v>
      </c>
      <c r="D11" s="15">
        <v>877058.62</v>
      </c>
      <c r="E11" s="14">
        <f t="shared" si="0"/>
        <v>277058.62</v>
      </c>
      <c r="F11" s="15"/>
    </row>
    <row r="12" spans="1:7" s="5" customFormat="1" x14ac:dyDescent="0.2">
      <c r="A12" s="6" t="s">
        <v>104</v>
      </c>
      <c r="B12" s="6"/>
      <c r="C12" s="17">
        <f t="shared" ref="C12:D12" si="1">SUM(C6:C11)</f>
        <v>66168336</v>
      </c>
      <c r="D12" s="17">
        <f t="shared" si="1"/>
        <v>69306737.38000001</v>
      </c>
      <c r="E12" s="16">
        <f t="shared" si="0"/>
        <v>3138401.3800000101</v>
      </c>
      <c r="F12" s="17"/>
      <c r="G12" s="7"/>
    </row>
    <row r="13" spans="1:7" x14ac:dyDescent="0.2">
      <c r="A13" s="3"/>
      <c r="B13" s="3"/>
      <c r="C13" s="12"/>
      <c r="D13" s="12"/>
      <c r="F13" s="12"/>
    </row>
    <row r="14" spans="1:7" s="5" customFormat="1" ht="16" x14ac:dyDescent="0.2">
      <c r="A14" s="1" t="s">
        <v>115</v>
      </c>
      <c r="B14" s="6"/>
      <c r="C14" s="18">
        <v>59492886</v>
      </c>
      <c r="D14" s="18">
        <v>55613645.640000001</v>
      </c>
      <c r="E14" s="11">
        <f t="shared" ref="E14" si="2">C14-D14</f>
        <v>3879240.3599999994</v>
      </c>
      <c r="F14" s="17"/>
      <c r="G14" s="9" t="s">
        <v>119</v>
      </c>
    </row>
    <row r="15" spans="1:7" ht="32" x14ac:dyDescent="0.2">
      <c r="A15" s="3" t="s">
        <v>105</v>
      </c>
      <c r="B15" s="3"/>
      <c r="C15" s="12">
        <f>14406109+189691</f>
        <v>14595800</v>
      </c>
      <c r="D15" s="12">
        <v>13459772.449999996</v>
      </c>
      <c r="E15" s="11">
        <f>C15-D15</f>
        <v>1136027.5500000045</v>
      </c>
      <c r="F15" s="12"/>
      <c r="G15" s="9" t="s">
        <v>120</v>
      </c>
    </row>
    <row r="16" spans="1:7" x14ac:dyDescent="0.2">
      <c r="A16" s="3" t="s">
        <v>106</v>
      </c>
      <c r="B16" s="3"/>
      <c r="C16" s="12">
        <v>-3501579</v>
      </c>
      <c r="D16" s="12">
        <v>-3997953.0200000005</v>
      </c>
      <c r="E16" s="11">
        <f>C16-D16</f>
        <v>496374.02000000048</v>
      </c>
      <c r="F16" s="12"/>
    </row>
    <row r="17" spans="1:7" ht="35" x14ac:dyDescent="0.35">
      <c r="A17" s="3" t="s">
        <v>107</v>
      </c>
      <c r="B17" s="3"/>
      <c r="C17" s="15">
        <v>3476991</v>
      </c>
      <c r="D17" s="15">
        <f>4727563.19+660000</f>
        <v>5387563.1900000004</v>
      </c>
      <c r="E17" s="14">
        <f>C17-D17</f>
        <v>-1910572.1900000004</v>
      </c>
      <c r="F17" s="15"/>
      <c r="G17" s="9" t="s">
        <v>121</v>
      </c>
    </row>
    <row r="18" spans="1:7" s="5" customFormat="1" x14ac:dyDescent="0.2">
      <c r="A18" s="6" t="s">
        <v>108</v>
      </c>
      <c r="B18" s="6"/>
      <c r="C18" s="17">
        <f>SUM(C14:C17)</f>
        <v>74064098</v>
      </c>
      <c r="D18" s="17">
        <f>SUM(D14:D17)</f>
        <v>70463028.260000005</v>
      </c>
      <c r="E18" s="16">
        <f>C18-D18</f>
        <v>3601069.7399999946</v>
      </c>
      <c r="F18" s="17"/>
      <c r="G18" s="7"/>
    </row>
    <row r="19" spans="1:7" x14ac:dyDescent="0.2">
      <c r="A19" s="3"/>
      <c r="B19" s="3"/>
      <c r="C19" s="12"/>
      <c r="D19" s="12"/>
      <c r="F19" s="12"/>
    </row>
    <row r="20" spans="1:7" s="5" customFormat="1" x14ac:dyDescent="0.2">
      <c r="A20" s="6" t="s">
        <v>109</v>
      </c>
      <c r="B20" s="6"/>
      <c r="C20" s="17">
        <f>C12-C18</f>
        <v>-7895762</v>
      </c>
      <c r="D20" s="17">
        <f>D12-D18</f>
        <v>-1156290.8799999952</v>
      </c>
      <c r="E20" s="16">
        <f>D20-C20</f>
        <v>6739471.1200000048</v>
      </c>
      <c r="F20" s="17"/>
      <c r="G20" s="7"/>
    </row>
    <row r="21" spans="1:7" x14ac:dyDescent="0.2">
      <c r="A21" s="1" t="s">
        <v>110</v>
      </c>
      <c r="B21" s="1"/>
      <c r="C21" s="18">
        <v>15089728</v>
      </c>
      <c r="D21" s="1">
        <f>C21</f>
        <v>15089728</v>
      </c>
      <c r="E21" s="11">
        <f>D21-C21</f>
        <v>0</v>
      </c>
      <c r="F21" s="1"/>
    </row>
    <row r="22" spans="1:7" ht="18" x14ac:dyDescent="0.35">
      <c r="A22" s="3" t="s">
        <v>111</v>
      </c>
      <c r="B22" s="3"/>
      <c r="C22" s="15">
        <v>0</v>
      </c>
      <c r="D22" s="13">
        <f>100000-8373.86</f>
        <v>91626.14</v>
      </c>
      <c r="E22" s="14">
        <f>D22-C22</f>
        <v>91626.14</v>
      </c>
      <c r="F22" s="13"/>
    </row>
    <row r="23" spans="1:7" x14ac:dyDescent="0.2">
      <c r="A23" s="3" t="s">
        <v>112</v>
      </c>
      <c r="B23" s="3"/>
      <c r="C23" s="3">
        <f>SUM(C21:C22)</f>
        <v>15089728</v>
      </c>
      <c r="D23" s="3">
        <f>SUM(D20:D22)</f>
        <v>14025063.260000005</v>
      </c>
      <c r="E23" s="11">
        <f>D23-C23</f>
        <v>-1064664.7399999946</v>
      </c>
      <c r="F23" s="3"/>
    </row>
    <row r="24" spans="1:7" x14ac:dyDescent="0.2">
      <c r="A24" s="19" t="s">
        <v>113</v>
      </c>
      <c r="B24" s="19"/>
      <c r="C24" s="19">
        <f>C23/C12</f>
        <v>0.22805058903098305</v>
      </c>
      <c r="D24" s="19">
        <f>D23/D12</f>
        <v>0.20236219147212731</v>
      </c>
      <c r="F24" s="19"/>
    </row>
    <row r="27" spans="1:7" x14ac:dyDescent="0.2">
      <c r="A27" s="5" t="s">
        <v>93</v>
      </c>
    </row>
    <row r="28" spans="1:7" ht="16" x14ac:dyDescent="0.2">
      <c r="A28" s="3" t="s">
        <v>98</v>
      </c>
      <c r="C28" s="12">
        <f>32669024+550000+3536105</f>
        <v>36755129</v>
      </c>
      <c r="D28" s="3">
        <v>37475048.229999997</v>
      </c>
      <c r="E28" s="11">
        <f t="shared" ref="E28:E34" si="3">D28-C28</f>
        <v>719919.22999999672</v>
      </c>
      <c r="G28" s="9" t="s">
        <v>122</v>
      </c>
    </row>
    <row r="29" spans="1:7" ht="16" x14ac:dyDescent="0.2">
      <c r="A29" s="3" t="s">
        <v>99</v>
      </c>
      <c r="C29" s="12">
        <v>-5500000</v>
      </c>
      <c r="D29" s="3">
        <v>-4809233</v>
      </c>
      <c r="E29" s="11">
        <f t="shared" si="3"/>
        <v>690767</v>
      </c>
      <c r="G29" s="9" t="s">
        <v>116</v>
      </c>
    </row>
    <row r="30" spans="1:7" x14ac:dyDescent="0.2">
      <c r="A30" s="3" t="s">
        <v>100</v>
      </c>
      <c r="C30" s="12">
        <f>33836673+1022214</f>
        <v>34858887</v>
      </c>
      <c r="D30" s="12">
        <f>33747518.09+1022214</f>
        <v>34769732.090000004</v>
      </c>
      <c r="E30" s="11">
        <f t="shared" si="3"/>
        <v>-89154.909999996424</v>
      </c>
    </row>
    <row r="31" spans="1:7" ht="16" x14ac:dyDescent="0.2">
      <c r="A31" s="3" t="s">
        <v>101</v>
      </c>
      <c r="C31" s="12">
        <v>2194070</v>
      </c>
      <c r="D31" s="3">
        <v>2664389.2600000002</v>
      </c>
      <c r="E31" s="11">
        <f t="shared" si="3"/>
        <v>470319.26000000024</v>
      </c>
      <c r="G31" s="9" t="s">
        <v>118</v>
      </c>
    </row>
    <row r="32" spans="1:7" ht="16" x14ac:dyDescent="0.2">
      <c r="A32" s="3" t="s">
        <v>102</v>
      </c>
      <c r="C32" s="12">
        <v>2000000</v>
      </c>
      <c r="D32" s="3">
        <v>2720327.71</v>
      </c>
      <c r="E32" s="11">
        <f t="shared" si="3"/>
        <v>720327.71</v>
      </c>
      <c r="G32" s="9" t="s">
        <v>123</v>
      </c>
    </row>
    <row r="33" spans="1:7" ht="18" x14ac:dyDescent="0.35">
      <c r="A33" s="3" t="s">
        <v>103</v>
      </c>
      <c r="C33" s="15">
        <v>600000</v>
      </c>
      <c r="D33" s="13">
        <v>611086.81000000006</v>
      </c>
      <c r="E33" s="14">
        <f t="shared" si="3"/>
        <v>11086.810000000056</v>
      </c>
    </row>
    <row r="34" spans="1:7" x14ac:dyDescent="0.2">
      <c r="A34" s="6" t="s">
        <v>104</v>
      </c>
      <c r="C34" s="6">
        <f>SUM(C28:C33)</f>
        <v>70908086</v>
      </c>
      <c r="D34" s="6">
        <f>SUM(D28:D33)</f>
        <v>73431351.099999994</v>
      </c>
      <c r="E34" s="16">
        <f t="shared" si="3"/>
        <v>2523265.099999994</v>
      </c>
    </row>
    <row r="35" spans="1:7" x14ac:dyDescent="0.2">
      <c r="A35" s="3"/>
      <c r="C35" s="12"/>
      <c r="D35" s="3"/>
    </row>
    <row r="36" spans="1:7" ht="16" x14ac:dyDescent="0.2">
      <c r="A36" s="1" t="s">
        <v>115</v>
      </c>
      <c r="C36" s="1">
        <v>57896141</v>
      </c>
      <c r="D36" s="1">
        <v>56435686.619999997</v>
      </c>
      <c r="E36" s="11">
        <f t="shared" ref="E36" si="4">C36-D36</f>
        <v>1460454.3800000027</v>
      </c>
      <c r="G36" s="9" t="s">
        <v>124</v>
      </c>
    </row>
    <row r="37" spans="1:7" ht="32" x14ac:dyDescent="0.2">
      <c r="A37" s="3" t="s">
        <v>105</v>
      </c>
      <c r="C37" s="12">
        <v>15698208</v>
      </c>
      <c r="D37" s="3">
        <v>13971096.160000004</v>
      </c>
      <c r="E37" s="11">
        <f>C37-D37</f>
        <v>1727111.8399999961</v>
      </c>
      <c r="G37" s="9" t="s">
        <v>125</v>
      </c>
    </row>
    <row r="38" spans="1:7" x14ac:dyDescent="0.2">
      <c r="A38" s="3" t="s">
        <v>106</v>
      </c>
      <c r="C38" s="12">
        <v>-3776740</v>
      </c>
      <c r="D38" s="3">
        <v>-4156394.6999999997</v>
      </c>
      <c r="E38" s="11">
        <f>C38-D38</f>
        <v>379654.69999999972</v>
      </c>
    </row>
    <row r="39" spans="1:7" ht="35" x14ac:dyDescent="0.35">
      <c r="A39" s="3" t="s">
        <v>107</v>
      </c>
      <c r="C39" s="15">
        <v>5105374</v>
      </c>
      <c r="D39" s="15">
        <f>7846572.02-400000</f>
        <v>7446572.0199999996</v>
      </c>
      <c r="E39" s="14">
        <f>C39-D39</f>
        <v>-2341198.0199999996</v>
      </c>
      <c r="G39" s="9" t="s">
        <v>132</v>
      </c>
    </row>
    <row r="40" spans="1:7" x14ac:dyDescent="0.2">
      <c r="A40" s="6" t="s">
        <v>108</v>
      </c>
      <c r="C40" s="6">
        <f>SUM(C36:C39)</f>
        <v>74922983</v>
      </c>
      <c r="D40" s="6">
        <f>SUM(D36:D39)</f>
        <v>73696960.099999994</v>
      </c>
      <c r="E40" s="16">
        <f>C40-D40</f>
        <v>1226022.900000006</v>
      </c>
    </row>
    <row r="41" spans="1:7" x14ac:dyDescent="0.2">
      <c r="A41" s="3"/>
      <c r="C41" s="12"/>
      <c r="D41" s="3"/>
    </row>
    <row r="42" spans="1:7" x14ac:dyDescent="0.2">
      <c r="A42" s="6" t="s">
        <v>109</v>
      </c>
      <c r="C42" s="6">
        <f>C34-C40</f>
        <v>-4014897</v>
      </c>
      <c r="D42" s="6">
        <f>D34-D40</f>
        <v>-265609</v>
      </c>
      <c r="E42" s="16">
        <f>D42-C42</f>
        <v>3749288</v>
      </c>
    </row>
    <row r="43" spans="1:7" x14ac:dyDescent="0.2">
      <c r="A43" s="1" t="s">
        <v>110</v>
      </c>
      <c r="C43" s="1">
        <v>14024877</v>
      </c>
      <c r="D43" s="1">
        <f>D23</f>
        <v>14025063.260000005</v>
      </c>
      <c r="E43" s="11">
        <f>D43-C43</f>
        <v>186.26000000536442</v>
      </c>
    </row>
    <row r="44" spans="1:7" ht="18" x14ac:dyDescent="0.35">
      <c r="A44" s="3" t="s">
        <v>111</v>
      </c>
      <c r="C44" s="13">
        <v>0</v>
      </c>
      <c r="D44" s="13">
        <v>-5479.47</v>
      </c>
      <c r="E44" s="14">
        <f>D44-C44</f>
        <v>-5479.47</v>
      </c>
    </row>
    <row r="45" spans="1:7" x14ac:dyDescent="0.2">
      <c r="A45" s="3" t="s">
        <v>112</v>
      </c>
      <c r="C45" s="3">
        <f>C42+C43</f>
        <v>10009980</v>
      </c>
      <c r="D45" s="3">
        <f>SUM(D42:D44)</f>
        <v>13753974.790000005</v>
      </c>
      <c r="E45" s="11">
        <f>D45-C45</f>
        <v>3743994.7900000047</v>
      </c>
    </row>
    <row r="46" spans="1:7" x14ac:dyDescent="0.2">
      <c r="A46" s="19" t="s">
        <v>113</v>
      </c>
      <c r="C46" s="19">
        <f>C45/(C34+1022214)</f>
        <v>0.13916221675705509</v>
      </c>
      <c r="D46" s="19">
        <f>D45/(D34+1022214)</f>
        <v>0.1847322525325252</v>
      </c>
    </row>
    <row r="49" spans="1:7" x14ac:dyDescent="0.2">
      <c r="A49" s="5" t="s">
        <v>94</v>
      </c>
    </row>
    <row r="50" spans="1:7" ht="16" x14ac:dyDescent="0.2">
      <c r="A50" s="3" t="s">
        <v>98</v>
      </c>
      <c r="C50" s="12">
        <f>33680204+550000+3456022</f>
        <v>37686226</v>
      </c>
      <c r="D50" s="3">
        <v>38016998.020000003</v>
      </c>
      <c r="E50" s="11">
        <f t="shared" ref="E50:E56" si="5">D50-C50</f>
        <v>330772.02000000328</v>
      </c>
      <c r="G50" s="9" t="s">
        <v>126</v>
      </c>
    </row>
    <row r="51" spans="1:7" ht="16" x14ac:dyDescent="0.2">
      <c r="A51" s="3" t="s">
        <v>99</v>
      </c>
      <c r="C51" s="12">
        <v>-5000000</v>
      </c>
      <c r="D51" s="3">
        <v>-5195175</v>
      </c>
      <c r="E51" s="11">
        <f t="shared" si="5"/>
        <v>-195175</v>
      </c>
      <c r="G51" s="9" t="s">
        <v>127</v>
      </c>
    </row>
    <row r="52" spans="1:7" ht="16" x14ac:dyDescent="0.2">
      <c r="A52" s="3" t="s">
        <v>100</v>
      </c>
      <c r="C52" s="12">
        <v>34961339</v>
      </c>
      <c r="D52" s="3">
        <v>34877076</v>
      </c>
      <c r="E52" s="11">
        <f t="shared" si="5"/>
        <v>-84263</v>
      </c>
      <c r="G52" s="9" t="s">
        <v>128</v>
      </c>
    </row>
    <row r="53" spans="1:7" ht="16" x14ac:dyDescent="0.2">
      <c r="A53" s="3" t="s">
        <v>101</v>
      </c>
      <c r="C53" s="12">
        <v>2600000</v>
      </c>
      <c r="D53" s="3">
        <v>2176005.11</v>
      </c>
      <c r="E53" s="11">
        <f t="shared" si="5"/>
        <v>-423994.89000000013</v>
      </c>
      <c r="G53" s="9" t="s">
        <v>129</v>
      </c>
    </row>
    <row r="54" spans="1:7" ht="16" x14ac:dyDescent="0.2">
      <c r="A54" s="3" t="s">
        <v>102</v>
      </c>
      <c r="C54" s="12">
        <v>2300000</v>
      </c>
      <c r="D54" s="3">
        <v>2454589.12</v>
      </c>
      <c r="E54" s="11">
        <f t="shared" si="5"/>
        <v>154589.12000000011</v>
      </c>
      <c r="G54" s="9" t="s">
        <v>123</v>
      </c>
    </row>
    <row r="55" spans="1:7" ht="18" x14ac:dyDescent="0.35">
      <c r="A55" s="3" t="s">
        <v>103</v>
      </c>
      <c r="C55" s="15">
        <v>600000</v>
      </c>
      <c r="D55" s="13">
        <v>755393.57</v>
      </c>
      <c r="E55" s="14">
        <f t="shared" si="5"/>
        <v>155393.56999999995</v>
      </c>
    </row>
    <row r="56" spans="1:7" x14ac:dyDescent="0.2">
      <c r="A56" s="6" t="s">
        <v>104</v>
      </c>
      <c r="C56" s="6">
        <f t="shared" ref="C56:D56" si="6">SUM(C50:C55)</f>
        <v>73147565</v>
      </c>
      <c r="D56" s="6">
        <f t="shared" si="6"/>
        <v>73084886.820000008</v>
      </c>
      <c r="E56" s="16">
        <f t="shared" si="5"/>
        <v>-62678.179999992251</v>
      </c>
    </row>
    <row r="57" spans="1:7" x14ac:dyDescent="0.2">
      <c r="A57" s="3"/>
      <c r="C57" s="12"/>
      <c r="D57" s="3"/>
    </row>
    <row r="58" spans="1:7" ht="16" x14ac:dyDescent="0.2">
      <c r="A58" s="1" t="s">
        <v>115</v>
      </c>
      <c r="C58" s="1">
        <v>60459097</v>
      </c>
      <c r="D58" s="1">
        <v>59674509.829999991</v>
      </c>
      <c r="E58" s="11">
        <f t="shared" ref="E58" si="7">C58-D58</f>
        <v>784587.17000000924</v>
      </c>
      <c r="G58" s="9" t="s">
        <v>124</v>
      </c>
    </row>
    <row r="59" spans="1:7" ht="80" x14ac:dyDescent="0.2">
      <c r="A59" s="3" t="s">
        <v>105</v>
      </c>
      <c r="C59" s="12">
        <v>15615352</v>
      </c>
      <c r="D59" s="3">
        <v>12286210.43</v>
      </c>
      <c r="E59" s="11">
        <f>C59-D59</f>
        <v>3329141.5700000003</v>
      </c>
      <c r="G59" s="9" t="s">
        <v>130</v>
      </c>
    </row>
    <row r="60" spans="1:7" x14ac:dyDescent="0.2">
      <c r="A60" s="3" t="s">
        <v>106</v>
      </c>
      <c r="C60" s="12">
        <v>-3916500</v>
      </c>
      <c r="D60" s="3">
        <v>-4204872.3</v>
      </c>
      <c r="E60" s="11">
        <f>C60-D60</f>
        <v>288372.29999999981</v>
      </c>
    </row>
    <row r="61" spans="1:7" ht="19" x14ac:dyDescent="0.35">
      <c r="A61" s="3" t="s">
        <v>107</v>
      </c>
      <c r="C61" s="15">
        <f>-69133+5667131</f>
        <v>5597998</v>
      </c>
      <c r="D61" s="2">
        <v>7275776.4299999997</v>
      </c>
      <c r="E61" s="14">
        <f>C61-D61</f>
        <v>-1677778.4299999997</v>
      </c>
      <c r="G61" s="9" t="s">
        <v>131</v>
      </c>
    </row>
    <row r="62" spans="1:7" x14ac:dyDescent="0.2">
      <c r="A62" s="6" t="s">
        <v>108</v>
      </c>
      <c r="C62" s="6">
        <f>SUM(C58:C61)</f>
        <v>77755947</v>
      </c>
      <c r="D62" s="6">
        <f>SUM(D58:D61)</f>
        <v>75031624.389999986</v>
      </c>
      <c r="E62" s="16">
        <f>C62-D62</f>
        <v>2724322.6100000143</v>
      </c>
    </row>
    <row r="63" spans="1:7" x14ac:dyDescent="0.2">
      <c r="A63" s="3"/>
      <c r="C63" s="12"/>
      <c r="D63" s="3"/>
    </row>
    <row r="64" spans="1:7" x14ac:dyDescent="0.2">
      <c r="A64" s="6" t="s">
        <v>109</v>
      </c>
      <c r="C64" s="6">
        <f>C56-C62</f>
        <v>-4608382</v>
      </c>
      <c r="D64" s="6">
        <f>D56-D62</f>
        <v>-1946737.5699999779</v>
      </c>
      <c r="E64" s="16">
        <f>D64-C64</f>
        <v>2661644.4300000221</v>
      </c>
    </row>
    <row r="65" spans="1:7" x14ac:dyDescent="0.2">
      <c r="A65" s="1" t="s">
        <v>110</v>
      </c>
      <c r="C65" s="1">
        <v>13753975</v>
      </c>
      <c r="D65" s="1">
        <f>D45</f>
        <v>13753974.790000005</v>
      </c>
      <c r="E65" s="11">
        <f>D65-C65</f>
        <v>-0.20999999530613422</v>
      </c>
    </row>
    <row r="66" spans="1:7" ht="19" x14ac:dyDescent="0.35">
      <c r="A66" s="3" t="s">
        <v>111</v>
      </c>
      <c r="C66" s="13">
        <v>0</v>
      </c>
      <c r="D66" s="13">
        <f>1783493.03-592.97</f>
        <v>1782900.06</v>
      </c>
      <c r="E66" s="14">
        <f>D66-C66</f>
        <v>1782900.06</v>
      </c>
      <c r="G66" s="9" t="s">
        <v>133</v>
      </c>
    </row>
    <row r="67" spans="1:7" x14ac:dyDescent="0.2">
      <c r="A67" s="3" t="s">
        <v>112</v>
      </c>
      <c r="C67" s="3">
        <f>C64+C65</f>
        <v>9145593</v>
      </c>
      <c r="D67" s="3">
        <f>SUM(D64:D66)</f>
        <v>13590137.280000027</v>
      </c>
      <c r="E67" s="11">
        <f>D67-C67</f>
        <v>4444544.2800000273</v>
      </c>
    </row>
    <row r="68" spans="1:7" x14ac:dyDescent="0.2">
      <c r="A68" s="19" t="s">
        <v>113</v>
      </c>
      <c r="C68" s="19">
        <f>C67/(C56+1022214)</f>
        <v>0.12330619186555754</v>
      </c>
      <c r="D68" s="19">
        <f>D67/(D56+1022214)</f>
        <v>0.18338508900799319</v>
      </c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Budget</vt:lpstr>
      <vt:lpstr>Actuals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Camarie Moreno</dc:creator>
  <cp:lastModifiedBy>Cameron Mortensen</cp:lastModifiedBy>
  <dcterms:created xsi:type="dcterms:W3CDTF">2023-10-10T20:37:22Z</dcterms:created>
  <dcterms:modified xsi:type="dcterms:W3CDTF">2026-03-09T20:35:25Z</dcterms:modified>
</cp:coreProperties>
</file>